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05" windowWidth="14805" windowHeight="5310" activeTab="1"/>
  </bookViews>
  <sheets>
    <sheet name="2015г (последняя)" sheetId="2" r:id="rId1"/>
    <sheet name="2016 год" sheetId="3" r:id="rId2"/>
    <sheet name="сопостовление" sheetId="4" r:id="rId3"/>
  </sheets>
  <definedNames>
    <definedName name="_xlnm.Print_Area" localSheetId="0">'2015г (последняя)'!$A$1:$M$322</definedName>
    <definedName name="_xlnm.Print_Area" localSheetId="1">'2016 год'!$A$1:$M$72</definedName>
    <definedName name="_xlnm.Print_Area" localSheetId="2">сопостовление!$A$1:$D$41</definedName>
  </definedNames>
  <calcPr calcId="144525"/>
</workbook>
</file>

<file path=xl/calcChain.xml><?xml version="1.0" encoding="utf-8"?>
<calcChain xmlns="http://schemas.openxmlformats.org/spreadsheetml/2006/main">
  <c r="I22" i="3" l="1"/>
  <c r="J14" i="3"/>
  <c r="K14" i="3" s="1"/>
  <c r="I14" i="3"/>
  <c r="I21" i="3"/>
  <c r="K22" i="3"/>
  <c r="L22" i="3" s="1"/>
  <c r="M22" i="3" s="1"/>
  <c r="J22" i="3"/>
  <c r="J27" i="3"/>
  <c r="K27" i="3" s="1"/>
  <c r="L27" i="3" s="1"/>
  <c r="M27" i="3" s="1"/>
  <c r="I46" i="3"/>
  <c r="J46" i="3" s="1"/>
  <c r="K46" i="3" s="1"/>
  <c r="L46" i="3" s="1"/>
  <c r="M46" i="3" s="1"/>
  <c r="G54" i="3"/>
  <c r="G68" i="3"/>
  <c r="J13" i="3" l="1"/>
  <c r="N14" i="3"/>
  <c r="L14" i="3"/>
  <c r="M14" i="3" s="1"/>
  <c r="F66" i="3" l="1"/>
  <c r="H57" i="3"/>
  <c r="G57" i="3"/>
  <c r="H20" i="3"/>
  <c r="G56" i="3"/>
  <c r="G43" i="3"/>
  <c r="G25" i="3"/>
  <c r="G24" i="3"/>
  <c r="H56" i="3"/>
  <c r="M28" i="3" l="1"/>
  <c r="L28" i="3"/>
  <c r="F30" i="3"/>
  <c r="M49" i="3" l="1"/>
  <c r="L49" i="3"/>
  <c r="K49" i="3"/>
  <c r="J49" i="3"/>
  <c r="I49" i="3"/>
  <c r="H49" i="3"/>
  <c r="G49" i="3"/>
  <c r="F50" i="3"/>
  <c r="F47" i="3"/>
  <c r="H48" i="3"/>
  <c r="M48" i="3"/>
  <c r="L48" i="3"/>
  <c r="K48" i="3"/>
  <c r="J48" i="3"/>
  <c r="I48" i="3"/>
  <c r="G48" i="3"/>
  <c r="F48" i="3" l="1"/>
  <c r="F49" i="3"/>
  <c r="F70" i="3"/>
  <c r="F54" i="3"/>
  <c r="F53" i="3"/>
  <c r="F51" i="3"/>
  <c r="F46" i="3"/>
  <c r="F45" i="3"/>
  <c r="F40" i="3"/>
  <c r="F39" i="3"/>
  <c r="F37" i="3"/>
  <c r="F36" i="3"/>
  <c r="F34" i="3"/>
  <c r="F33" i="3"/>
  <c r="F68" i="3"/>
  <c r="I67" i="3" l="1"/>
  <c r="F27" i="3"/>
  <c r="M17" i="3"/>
  <c r="L17" i="3"/>
  <c r="K17" i="3"/>
  <c r="J17" i="3"/>
  <c r="I17" i="3"/>
  <c r="M13" i="3"/>
  <c r="L13" i="3"/>
  <c r="K13" i="3"/>
  <c r="I13" i="3"/>
  <c r="M67" i="3" l="1"/>
  <c r="L67" i="3"/>
  <c r="K67" i="3"/>
  <c r="J67" i="3"/>
  <c r="F69" i="3"/>
  <c r="H52" i="3"/>
  <c r="G52" i="3"/>
  <c r="H42" i="3"/>
  <c r="H43" i="3"/>
  <c r="G42" i="3"/>
  <c r="G59" i="3" s="1"/>
  <c r="G63" i="3" s="1"/>
  <c r="H38" i="3"/>
  <c r="G38" i="3"/>
  <c r="H35" i="3"/>
  <c r="G35" i="3"/>
  <c r="H32" i="3"/>
  <c r="G32" i="3"/>
  <c r="H29" i="3"/>
  <c r="H28" i="3" s="1"/>
  <c r="G29" i="3"/>
  <c r="H25" i="3"/>
  <c r="H24" i="3"/>
  <c r="F22" i="3"/>
  <c r="F21" i="3"/>
  <c r="G20" i="3"/>
  <c r="F19" i="3"/>
  <c r="F18" i="3"/>
  <c r="F15" i="3"/>
  <c r="F14" i="3"/>
  <c r="H17" i="3"/>
  <c r="G17" i="3"/>
  <c r="H13" i="3"/>
  <c r="G13" i="3"/>
  <c r="K57" i="3"/>
  <c r="K55" i="3" s="1"/>
  <c r="I57" i="3"/>
  <c r="M38" i="3"/>
  <c r="L38" i="3"/>
  <c r="K38" i="3"/>
  <c r="J38" i="3"/>
  <c r="I38" i="3"/>
  <c r="M35" i="3"/>
  <c r="L35" i="3"/>
  <c r="K35" i="3"/>
  <c r="J35" i="3"/>
  <c r="I35" i="3"/>
  <c r="M32" i="3"/>
  <c r="L32" i="3"/>
  <c r="K32" i="3"/>
  <c r="J32" i="3"/>
  <c r="I32" i="3"/>
  <c r="K43" i="3"/>
  <c r="K41" i="3" s="1"/>
  <c r="I43" i="3"/>
  <c r="M25" i="3"/>
  <c r="L25" i="3"/>
  <c r="K25" i="3"/>
  <c r="J25" i="3"/>
  <c r="I25" i="3"/>
  <c r="M24" i="3"/>
  <c r="L24" i="3"/>
  <c r="K24" i="3"/>
  <c r="K63" i="3" s="1"/>
  <c r="J24" i="3"/>
  <c r="I24" i="3"/>
  <c r="G28" i="3" l="1"/>
  <c r="G60" i="3"/>
  <c r="G64" i="3" s="1"/>
  <c r="H63" i="3"/>
  <c r="H59" i="3"/>
  <c r="H60" i="3"/>
  <c r="H64" i="3"/>
  <c r="H41" i="3"/>
  <c r="F32" i="3"/>
  <c r="F38" i="3"/>
  <c r="F67" i="3"/>
  <c r="F52" i="3"/>
  <c r="H55" i="3"/>
  <c r="F35" i="3"/>
  <c r="G55" i="3"/>
  <c r="G41" i="3"/>
  <c r="F20" i="3"/>
  <c r="F17" i="3"/>
  <c r="M23" i="3"/>
  <c r="L23" i="3"/>
  <c r="K23" i="3"/>
  <c r="K59" i="3"/>
  <c r="J23" i="3"/>
  <c r="I23" i="3"/>
  <c r="F13" i="3"/>
  <c r="H23" i="3"/>
  <c r="G23" i="3"/>
  <c r="F24" i="3"/>
  <c r="F25" i="3"/>
  <c r="H62" i="3" l="1"/>
  <c r="H58" i="3"/>
  <c r="G62" i="3"/>
  <c r="G58" i="3"/>
  <c r="F23" i="3"/>
  <c r="K29" i="3"/>
  <c r="K28" i="3" s="1"/>
  <c r="K58" i="3" s="1"/>
  <c r="K64" i="3" l="1"/>
  <c r="K62" i="3" s="1"/>
  <c r="K60" i="3"/>
  <c r="M56" i="3"/>
  <c r="L56" i="3"/>
  <c r="J56" i="3"/>
  <c r="I56" i="3"/>
  <c r="I55" i="3" l="1"/>
  <c r="F56" i="3"/>
  <c r="L43" i="3"/>
  <c r="M43" i="3"/>
  <c r="M41" i="3" s="1"/>
  <c r="J43" i="3"/>
  <c r="J42" i="3"/>
  <c r="J63" i="3" s="1"/>
  <c r="M42" i="3"/>
  <c r="M63" i="3" s="1"/>
  <c r="I42" i="3"/>
  <c r="L42" i="3"/>
  <c r="L63" i="3" s="1"/>
  <c r="M16" i="3"/>
  <c r="M65" i="3" s="1"/>
  <c r="L16" i="3"/>
  <c r="L65" i="3" s="1"/>
  <c r="J16" i="3"/>
  <c r="J65" i="3" s="1"/>
  <c r="I16" i="3"/>
  <c r="I65" i="3" s="1"/>
  <c r="H16" i="3"/>
  <c r="H65" i="3" s="1"/>
  <c r="F43" i="3" l="1"/>
  <c r="I41" i="3"/>
  <c r="F42" i="3"/>
  <c r="I63" i="3"/>
  <c r="F63" i="3" s="1"/>
  <c r="J41" i="3"/>
  <c r="M59" i="3"/>
  <c r="I59" i="3"/>
  <c r="L59" i="3"/>
  <c r="J59" i="3"/>
  <c r="F16" i="3"/>
  <c r="F59" i="3" l="1"/>
  <c r="I29" i="3"/>
  <c r="I28" i="3" s="1"/>
  <c r="I64" i="3" l="1"/>
  <c r="J29" i="3"/>
  <c r="I60" i="3"/>
  <c r="J57" i="3"/>
  <c r="J64" i="3" l="1"/>
  <c r="J62" i="3" s="1"/>
  <c r="J28" i="3"/>
  <c r="F28" i="3" s="1"/>
  <c r="F29" i="3"/>
  <c r="I62" i="3"/>
  <c r="J60" i="3"/>
  <c r="L64" i="3"/>
  <c r="L62" i="3" s="1"/>
  <c r="L57" i="3"/>
  <c r="J55" i="3"/>
  <c r="L60" i="3" l="1"/>
  <c r="L55" i="3"/>
  <c r="M64" i="3"/>
  <c r="M62" i="3" l="1"/>
  <c r="F62" i="3" s="1"/>
  <c r="F64" i="3"/>
  <c r="M57" i="3"/>
  <c r="F57" i="3" s="1"/>
  <c r="M55" i="3" l="1"/>
  <c r="F55" i="3" s="1"/>
  <c r="M60" i="3"/>
  <c r="F60" i="3" s="1"/>
  <c r="F65" i="3"/>
  <c r="H277" i="2"/>
  <c r="H296" i="2"/>
  <c r="H283" i="2" l="1"/>
  <c r="H71" i="2" l="1"/>
  <c r="H74" i="2"/>
  <c r="H227" i="2"/>
  <c r="I228" i="2"/>
  <c r="J228" i="2"/>
  <c r="K228" i="2"/>
  <c r="L228" i="2"/>
  <c r="M228" i="2"/>
  <c r="G228" i="2"/>
  <c r="G214" i="2"/>
  <c r="H214" i="2"/>
  <c r="I214" i="2"/>
  <c r="J214" i="2"/>
  <c r="K214" i="2"/>
  <c r="L214" i="2"/>
  <c r="M214" i="2"/>
  <c r="G216" i="2"/>
  <c r="G217" i="2" s="1"/>
  <c r="H216" i="2"/>
  <c r="H217" i="2" s="1"/>
  <c r="N217" i="2" s="1"/>
  <c r="I216" i="2"/>
  <c r="I227" i="2" s="1"/>
  <c r="J216" i="2"/>
  <c r="J227" i="2" s="1"/>
  <c r="K216" i="2"/>
  <c r="K217" i="2" s="1"/>
  <c r="L216" i="2"/>
  <c r="L217" i="2" s="1"/>
  <c r="M216" i="2"/>
  <c r="M217" i="2" s="1"/>
  <c r="F214" i="2"/>
  <c r="F213" i="2"/>
  <c r="F216" i="2" s="1"/>
  <c r="M227" i="2" l="1"/>
  <c r="L227" i="2"/>
  <c r="K227" i="2"/>
  <c r="J217" i="2"/>
  <c r="I217" i="2"/>
  <c r="G227" i="2"/>
  <c r="F217" i="2"/>
  <c r="H193" i="2" l="1"/>
  <c r="G193" i="2"/>
  <c r="F193" i="2"/>
  <c r="G196" i="2"/>
  <c r="F196" i="2"/>
  <c r="G190" i="2"/>
  <c r="H190" i="2"/>
  <c r="I190" i="2"/>
  <c r="G287" i="2" l="1"/>
  <c r="H281" i="2"/>
  <c r="J156" i="2" l="1"/>
  <c r="I156" i="2"/>
  <c r="J298" i="2"/>
  <c r="I298" i="2"/>
  <c r="J272" i="2"/>
  <c r="I272" i="2"/>
  <c r="G157" i="2" l="1"/>
  <c r="G292" i="2" l="1"/>
  <c r="G290" i="2"/>
  <c r="G272" i="2" l="1"/>
  <c r="G50" i="2" l="1"/>
  <c r="H172" i="2"/>
  <c r="F158" i="2"/>
  <c r="G273" i="2"/>
  <c r="G34" i="2" l="1"/>
  <c r="G38" i="2"/>
  <c r="G296" i="2"/>
  <c r="G297" i="2"/>
  <c r="H317" i="2" l="1"/>
  <c r="I317" i="2"/>
  <c r="J317" i="2"/>
  <c r="K317" i="2"/>
  <c r="L317" i="2"/>
  <c r="M317" i="2"/>
  <c r="F317" i="2" l="1"/>
  <c r="G171" i="2"/>
  <c r="H171" i="2"/>
  <c r="I171" i="2"/>
  <c r="J171" i="2"/>
  <c r="K171" i="2"/>
  <c r="L171" i="2"/>
  <c r="M171" i="2"/>
  <c r="F157" i="2"/>
  <c r="F171" i="2" s="1"/>
  <c r="G225" i="2"/>
  <c r="H225" i="2"/>
  <c r="I225" i="2"/>
  <c r="J225" i="2"/>
  <c r="K225" i="2"/>
  <c r="L225" i="2"/>
  <c r="M225" i="2"/>
  <c r="F220" i="2"/>
  <c r="F225" i="2" s="1"/>
  <c r="J288" i="2" l="1"/>
  <c r="H154" i="2"/>
  <c r="I154" i="2"/>
  <c r="J154" i="2"/>
  <c r="K154" i="2"/>
  <c r="L154" i="2"/>
  <c r="M154" i="2"/>
  <c r="J138" i="2"/>
  <c r="K138" i="2"/>
  <c r="L138" i="2"/>
  <c r="M138" i="2"/>
  <c r="J137" i="2"/>
  <c r="K137" i="2"/>
  <c r="K136" i="2" s="1"/>
  <c r="L137" i="2"/>
  <c r="L136" i="2" s="1"/>
  <c r="M137" i="2"/>
  <c r="M136" i="2" s="1"/>
  <c r="J136" i="2"/>
  <c r="I77" i="2"/>
  <c r="J77" i="2"/>
  <c r="K77" i="2"/>
  <c r="L77" i="2"/>
  <c r="M77" i="2"/>
  <c r="H76" i="2"/>
  <c r="I76" i="2"/>
  <c r="J76" i="2"/>
  <c r="K76" i="2"/>
  <c r="L76" i="2"/>
  <c r="M76" i="2"/>
  <c r="H70" i="2"/>
  <c r="I70" i="2"/>
  <c r="J70" i="2"/>
  <c r="K70" i="2"/>
  <c r="L70" i="2"/>
  <c r="M70" i="2"/>
  <c r="H68" i="2"/>
  <c r="I68" i="2"/>
  <c r="H36" i="2"/>
  <c r="I36" i="2"/>
  <c r="H33" i="2"/>
  <c r="I33" i="2"/>
  <c r="H30" i="2"/>
  <c r="I30" i="2"/>
  <c r="H29" i="2"/>
  <c r="I29" i="2"/>
  <c r="G20" i="2"/>
  <c r="K295" i="2"/>
  <c r="L295" i="2"/>
  <c r="M295" i="2"/>
  <c r="H287" i="2"/>
  <c r="I287" i="2"/>
  <c r="J287" i="2"/>
  <c r="K287" i="2"/>
  <c r="L287" i="2"/>
  <c r="M287" i="2"/>
  <c r="K286" i="2"/>
  <c r="L286" i="2"/>
  <c r="L285" i="2" s="1"/>
  <c r="M286" i="2"/>
  <c r="K281" i="2"/>
  <c r="L281" i="2"/>
  <c r="M281" i="2"/>
  <c r="K280" i="2"/>
  <c r="L280" i="2"/>
  <c r="M280" i="2"/>
  <c r="J290" i="2"/>
  <c r="I290" i="2"/>
  <c r="J283" i="2"/>
  <c r="J280" i="2" s="1"/>
  <c r="I283" i="2"/>
  <c r="I280" i="2" s="1"/>
  <c r="J281" i="2"/>
  <c r="I281" i="2"/>
  <c r="J292" i="2"/>
  <c r="I292" i="2"/>
  <c r="I288" i="2"/>
  <c r="I296" i="2"/>
  <c r="J296" i="2"/>
  <c r="K285" i="2" l="1"/>
  <c r="M285" i="2"/>
  <c r="M75" i="2"/>
  <c r="I75" i="2"/>
  <c r="K75" i="2"/>
  <c r="J295" i="2"/>
  <c r="I286" i="2"/>
  <c r="I285" i="2" s="1"/>
  <c r="J279" i="2"/>
  <c r="J286" i="2"/>
  <c r="I295" i="2"/>
  <c r="J75" i="2"/>
  <c r="L75" i="2"/>
  <c r="J301" i="2"/>
  <c r="I301" i="2"/>
  <c r="I279" i="2"/>
  <c r="J285" i="2"/>
  <c r="M279" i="2"/>
  <c r="L279" i="2"/>
  <c r="K279" i="2"/>
  <c r="H280" i="2"/>
  <c r="H279" i="2" s="1"/>
  <c r="H288" i="2"/>
  <c r="H290" i="2"/>
  <c r="H292" i="2"/>
  <c r="H298" i="2"/>
  <c r="J300" i="2" l="1"/>
  <c r="J299" i="2" s="1"/>
  <c r="I300" i="2"/>
  <c r="I299" i="2" s="1"/>
  <c r="H295" i="2"/>
  <c r="H286" i="2"/>
  <c r="H285" i="2" s="1"/>
  <c r="G281" i="2" l="1"/>
  <c r="G301" i="2" s="1"/>
  <c r="G280" i="2"/>
  <c r="F280" i="2" l="1"/>
  <c r="G29" i="2"/>
  <c r="G112" i="2" l="1"/>
  <c r="F135" i="2"/>
  <c r="G30" i="2"/>
  <c r="G160" i="2"/>
  <c r="G279" i="2" l="1"/>
  <c r="F279" i="2" s="1"/>
  <c r="G68" i="2"/>
  <c r="F274" i="2" l="1"/>
  <c r="F132" i="2" l="1"/>
  <c r="G54" i="2" l="1"/>
  <c r="H54" i="2"/>
  <c r="I54" i="2"/>
  <c r="F55" i="2"/>
  <c r="G33" i="2"/>
  <c r="F34" i="2"/>
  <c r="F219" i="2" l="1"/>
  <c r="F221" i="2"/>
  <c r="F222" i="2"/>
  <c r="F73" i="2"/>
  <c r="F72" i="2"/>
  <c r="F71" i="2"/>
  <c r="J159" i="2" l="1"/>
  <c r="J172" i="2" s="1"/>
  <c r="K159" i="2"/>
  <c r="K172" i="2" s="1"/>
  <c r="L159" i="2"/>
  <c r="L172" i="2" s="1"/>
  <c r="M159" i="2"/>
  <c r="M172" i="2" s="1"/>
  <c r="F273" i="2" l="1"/>
  <c r="F276" i="2"/>
  <c r="F278" i="2"/>
  <c r="F283" i="2"/>
  <c r="F284" i="2"/>
  <c r="F288" i="2"/>
  <c r="F289" i="2"/>
  <c r="F290" i="2"/>
  <c r="F291" i="2"/>
  <c r="F292" i="2"/>
  <c r="F293" i="2"/>
  <c r="F294" i="2"/>
  <c r="F296" i="2"/>
  <c r="F297" i="2"/>
  <c r="J190" i="2"/>
  <c r="K190" i="2"/>
  <c r="L190" i="2"/>
  <c r="M190" i="2"/>
  <c r="H223" i="2"/>
  <c r="I223" i="2"/>
  <c r="J223" i="2"/>
  <c r="K223" i="2"/>
  <c r="L223" i="2"/>
  <c r="M223" i="2"/>
  <c r="G223" i="2"/>
  <c r="F140" i="2"/>
  <c r="F190" i="2" l="1"/>
  <c r="F223" i="2"/>
  <c r="G241" i="2"/>
  <c r="H241" i="2"/>
  <c r="I241" i="2"/>
  <c r="F275" i="2"/>
  <c r="H47" i="2"/>
  <c r="I47" i="2"/>
  <c r="G36" i="2"/>
  <c r="F282" i="2" l="1"/>
  <c r="F281" i="2" s="1"/>
  <c r="H316" i="2"/>
  <c r="I316" i="2"/>
  <c r="J316" i="2"/>
  <c r="K316" i="2"/>
  <c r="L316" i="2"/>
  <c r="M316" i="2"/>
  <c r="J315" i="2"/>
  <c r="K315" i="2"/>
  <c r="L315" i="2"/>
  <c r="M315" i="2"/>
  <c r="J198" i="2"/>
  <c r="J320" i="2" s="1"/>
  <c r="K198" i="2"/>
  <c r="K320" i="2" s="1"/>
  <c r="L198" i="2"/>
  <c r="L320" i="2" s="1"/>
  <c r="M198" i="2"/>
  <c r="M320" i="2" s="1"/>
  <c r="J197" i="2"/>
  <c r="K197" i="2"/>
  <c r="L197" i="2"/>
  <c r="M197" i="2"/>
  <c r="M319" i="2" l="1"/>
  <c r="M318" i="2" s="1"/>
  <c r="M196" i="2"/>
  <c r="L319" i="2"/>
  <c r="L318" i="2" s="1"/>
  <c r="L196" i="2"/>
  <c r="J319" i="2"/>
  <c r="J196" i="2"/>
  <c r="K319" i="2"/>
  <c r="K318" i="2" s="1"/>
  <c r="K196" i="2"/>
  <c r="J318" i="2"/>
  <c r="K301" i="2"/>
  <c r="L301" i="2"/>
  <c r="M301" i="2"/>
  <c r="J173" i="2"/>
  <c r="K173" i="2"/>
  <c r="L173" i="2"/>
  <c r="J233" i="2"/>
  <c r="K233" i="2" s="1"/>
  <c r="L233" i="2" s="1"/>
  <c r="J234" i="2"/>
  <c r="K234" i="2" s="1"/>
  <c r="L234" i="2" s="1"/>
  <c r="J238" i="2"/>
  <c r="J239" i="2"/>
  <c r="K239" i="2" s="1"/>
  <c r="L239" i="2" s="1"/>
  <c r="J240" i="2"/>
  <c r="K240" i="2" s="1"/>
  <c r="L240" i="2" s="1"/>
  <c r="J242" i="2"/>
  <c r="J243" i="2"/>
  <c r="K243" i="2" s="1"/>
  <c r="L243" i="2" s="1"/>
  <c r="J244" i="2"/>
  <c r="J246" i="2"/>
  <c r="J247" i="2"/>
  <c r="K247" i="2" s="1"/>
  <c r="L247" i="2" s="1"/>
  <c r="J248" i="2"/>
  <c r="K248" i="2" s="1"/>
  <c r="L248" i="2" s="1"/>
  <c r="J249" i="2"/>
  <c r="K249" i="2" s="1"/>
  <c r="L249" i="2" s="1"/>
  <c r="M249" i="2" s="1"/>
  <c r="J250" i="2"/>
  <c r="K250" i="2" s="1"/>
  <c r="L250" i="2" s="1"/>
  <c r="J251" i="2"/>
  <c r="K251" i="2" s="1"/>
  <c r="L251" i="2" s="1"/>
  <c r="J252" i="2"/>
  <c r="J253" i="2"/>
  <c r="K253" i="2" s="1"/>
  <c r="L253" i="2" s="1"/>
  <c r="J254" i="2"/>
  <c r="K254" i="2" s="1"/>
  <c r="L254" i="2" s="1"/>
  <c r="J255" i="2"/>
  <c r="K255" i="2" s="1"/>
  <c r="L255" i="2" s="1"/>
  <c r="M255" i="2" s="1"/>
  <c r="J256" i="2"/>
  <c r="K256" i="2" s="1"/>
  <c r="L256" i="2" s="1"/>
  <c r="J257" i="2"/>
  <c r="K257" i="2" s="1"/>
  <c r="L257" i="2" s="1"/>
  <c r="J258" i="2"/>
  <c r="J259" i="2"/>
  <c r="K259" i="2" s="1"/>
  <c r="L259" i="2" s="1"/>
  <c r="J260" i="2"/>
  <c r="K260" i="2" s="1"/>
  <c r="L260" i="2" s="1"/>
  <c r="J261" i="2"/>
  <c r="J262" i="2"/>
  <c r="J263" i="2"/>
  <c r="J212" i="2"/>
  <c r="J202" i="2"/>
  <c r="J203" i="2"/>
  <c r="J204" i="2"/>
  <c r="J205" i="2"/>
  <c r="J206" i="2"/>
  <c r="J207" i="2"/>
  <c r="J208" i="2"/>
  <c r="J209" i="2"/>
  <c r="J201" i="2"/>
  <c r="J80" i="2"/>
  <c r="J81" i="2"/>
  <c r="J82" i="2"/>
  <c r="J83" i="2"/>
  <c r="J84" i="2"/>
  <c r="J85" i="2"/>
  <c r="J86" i="2"/>
  <c r="J88" i="2"/>
  <c r="J21" i="2"/>
  <c r="J23" i="2"/>
  <c r="J24" i="2"/>
  <c r="J25" i="2"/>
  <c r="J26" i="2"/>
  <c r="J27" i="2"/>
  <c r="K27" i="2" s="1"/>
  <c r="J31" i="2"/>
  <c r="J32" i="2"/>
  <c r="J35" i="2"/>
  <c r="J33" i="2" s="1"/>
  <c r="J37" i="2"/>
  <c r="J38" i="2"/>
  <c r="J39" i="2"/>
  <c r="J40" i="2"/>
  <c r="J41" i="2"/>
  <c r="J42" i="2"/>
  <c r="J43" i="2"/>
  <c r="J44" i="2"/>
  <c r="J45" i="2"/>
  <c r="J46" i="2"/>
  <c r="J48" i="2"/>
  <c r="J49" i="2"/>
  <c r="J50" i="2"/>
  <c r="J51" i="2"/>
  <c r="J52" i="2"/>
  <c r="J53" i="2"/>
  <c r="J56" i="2"/>
  <c r="J54" i="2" s="1"/>
  <c r="J57" i="2"/>
  <c r="J58" i="2"/>
  <c r="J59" i="2"/>
  <c r="J60" i="2"/>
  <c r="J61" i="2"/>
  <c r="J62" i="2"/>
  <c r="J64" i="2"/>
  <c r="J65" i="2"/>
  <c r="I20" i="2"/>
  <c r="J20" i="2" l="1"/>
  <c r="F74" i="2"/>
  <c r="H77" i="2"/>
  <c r="H75" i="2" s="1"/>
  <c r="J29" i="2"/>
  <c r="J68" i="2"/>
  <c r="J30" i="2"/>
  <c r="J36" i="2"/>
  <c r="K84" i="2"/>
  <c r="L84" i="2" s="1"/>
  <c r="M84" i="2" s="1"/>
  <c r="K80" i="2"/>
  <c r="L80" i="2" s="1"/>
  <c r="M80" i="2" s="1"/>
  <c r="K258" i="2"/>
  <c r="L258" i="2" s="1"/>
  <c r="M258" i="2" s="1"/>
  <c r="K246" i="2"/>
  <c r="L246" i="2" s="1"/>
  <c r="M246" i="2" s="1"/>
  <c r="K88" i="2"/>
  <c r="L88" i="2" s="1"/>
  <c r="M88" i="2" s="1"/>
  <c r="K83" i="2"/>
  <c r="L83" i="2" s="1"/>
  <c r="M83" i="2" s="1"/>
  <c r="K261" i="2"/>
  <c r="L261" i="2" s="1"/>
  <c r="M261" i="2" s="1"/>
  <c r="K244" i="2"/>
  <c r="L244" i="2" s="1"/>
  <c r="M244" i="2" s="1"/>
  <c r="K86" i="2"/>
  <c r="L86" i="2" s="1"/>
  <c r="M86" i="2" s="1"/>
  <c r="K82" i="2"/>
  <c r="L82" i="2" s="1"/>
  <c r="M82" i="2" s="1"/>
  <c r="K252" i="2"/>
  <c r="L252" i="2" s="1"/>
  <c r="M252" i="2" s="1"/>
  <c r="K238" i="2"/>
  <c r="L238" i="2" s="1"/>
  <c r="M238" i="2" s="1"/>
  <c r="K85" i="2"/>
  <c r="L85" i="2" s="1"/>
  <c r="M85" i="2" s="1"/>
  <c r="K81" i="2"/>
  <c r="L81" i="2" s="1"/>
  <c r="M81" i="2" s="1"/>
  <c r="K60" i="2"/>
  <c r="L60" i="2" s="1"/>
  <c r="M60" i="2" s="1"/>
  <c r="K56" i="2"/>
  <c r="K45" i="2"/>
  <c r="L45" i="2" s="1"/>
  <c r="M45" i="2" s="1"/>
  <c r="K41" i="2"/>
  <c r="L41" i="2" s="1"/>
  <c r="M41" i="2" s="1"/>
  <c r="K64" i="2"/>
  <c r="L64" i="2" s="1"/>
  <c r="M64" i="2" s="1"/>
  <c r="K49" i="2"/>
  <c r="L49" i="2" s="1"/>
  <c r="M49" i="2" s="1"/>
  <c r="L27" i="2"/>
  <c r="M27" i="2" s="1"/>
  <c r="K58" i="2"/>
  <c r="L58" i="2" s="1"/>
  <c r="M58" i="2" s="1"/>
  <c r="K43" i="2"/>
  <c r="L43" i="2" s="1"/>
  <c r="M43" i="2" s="1"/>
  <c r="K39" i="2"/>
  <c r="L39" i="2" s="1"/>
  <c r="M39" i="2" s="1"/>
  <c r="K32" i="2"/>
  <c r="L32" i="2" s="1"/>
  <c r="M32" i="2" s="1"/>
  <c r="K21" i="2"/>
  <c r="L21" i="2" s="1"/>
  <c r="M21" i="2" s="1"/>
  <c r="K61" i="2"/>
  <c r="L61" i="2" s="1"/>
  <c r="M61" i="2" s="1"/>
  <c r="K57" i="2"/>
  <c r="L57" i="2" s="1"/>
  <c r="M57" i="2" s="1"/>
  <c r="K51" i="2"/>
  <c r="L51" i="2" s="1"/>
  <c r="M51" i="2" s="1"/>
  <c r="K46" i="2"/>
  <c r="L46" i="2" s="1"/>
  <c r="M46" i="2" s="1"/>
  <c r="K42" i="2"/>
  <c r="L42" i="2" s="1"/>
  <c r="M42" i="2" s="1"/>
  <c r="K38" i="2"/>
  <c r="L38" i="2" s="1"/>
  <c r="M38" i="2" s="1"/>
  <c r="K31" i="2"/>
  <c r="K25" i="2"/>
  <c r="L25" i="2" s="1"/>
  <c r="M25" i="2" s="1"/>
  <c r="K65" i="2"/>
  <c r="L65" i="2" s="1"/>
  <c r="M65" i="2" s="1"/>
  <c r="K50" i="2"/>
  <c r="K23" i="2"/>
  <c r="L23" i="2" s="1"/>
  <c r="M23" i="2" s="1"/>
  <c r="K62" i="2"/>
  <c r="L62" i="2" s="1"/>
  <c r="M62" i="2" s="1"/>
  <c r="K52" i="2"/>
  <c r="L52" i="2" s="1"/>
  <c r="M52" i="2" s="1"/>
  <c r="K26" i="2"/>
  <c r="L26" i="2" s="1"/>
  <c r="M26" i="2" s="1"/>
  <c r="K242" i="2"/>
  <c r="J241" i="2"/>
  <c r="I28" i="2"/>
  <c r="K48" i="2"/>
  <c r="J47" i="2"/>
  <c r="K37" i="2"/>
  <c r="M300" i="2"/>
  <c r="M303" i="2" s="1"/>
  <c r="M304" i="2"/>
  <c r="L300" i="2"/>
  <c r="L303" i="2" s="1"/>
  <c r="L304" i="2"/>
  <c r="K300" i="2"/>
  <c r="K303" i="2" s="1"/>
  <c r="K304" i="2"/>
  <c r="J303" i="2"/>
  <c r="J304" i="2"/>
  <c r="K59" i="2"/>
  <c r="L59" i="2" s="1"/>
  <c r="M59" i="2" s="1"/>
  <c r="K53" i="2"/>
  <c r="L53" i="2" s="1"/>
  <c r="M53" i="2" s="1"/>
  <c r="K44" i="2"/>
  <c r="L44" i="2" s="1"/>
  <c r="M44" i="2" s="1"/>
  <c r="K35" i="2"/>
  <c r="K33" i="2" s="1"/>
  <c r="K24" i="2"/>
  <c r="L24" i="2" s="1"/>
  <c r="M24" i="2" s="1"/>
  <c r="K40" i="2"/>
  <c r="L40" i="2" s="1"/>
  <c r="M40" i="2" s="1"/>
  <c r="I269" i="2"/>
  <c r="J269" i="2" s="1"/>
  <c r="K269" i="2" s="1"/>
  <c r="L269" i="2" s="1"/>
  <c r="M269" i="2" s="1"/>
  <c r="I266" i="2"/>
  <c r="J266" i="2" s="1"/>
  <c r="K266" i="2" s="1"/>
  <c r="L266" i="2" s="1"/>
  <c r="M266" i="2" s="1"/>
  <c r="I235" i="2"/>
  <c r="J235" i="2" s="1"/>
  <c r="I232" i="2"/>
  <c r="I210" i="2"/>
  <c r="I197" i="2"/>
  <c r="I187" i="2"/>
  <c r="I186" i="2"/>
  <c r="I185" i="2"/>
  <c r="I181" i="2"/>
  <c r="I178" i="2"/>
  <c r="I177" i="2"/>
  <c r="I176" i="2"/>
  <c r="I165" i="2"/>
  <c r="I160" i="2"/>
  <c r="I159" i="2" s="1"/>
  <c r="I172" i="2" s="1"/>
  <c r="I152" i="2"/>
  <c r="I150" i="2"/>
  <c r="I148" i="2"/>
  <c r="I145" i="2"/>
  <c r="I143" i="2"/>
  <c r="I141" i="2"/>
  <c r="I116" i="2"/>
  <c r="I115" i="2"/>
  <c r="I107" i="2"/>
  <c r="I101" i="2"/>
  <c r="I98" i="2"/>
  <c r="I97" i="2"/>
  <c r="I94" i="2" s="1"/>
  <c r="I96" i="2"/>
  <c r="I93" i="2" s="1"/>
  <c r="I79" i="2"/>
  <c r="I89" i="2" s="1"/>
  <c r="J210" i="2" l="1"/>
  <c r="K210" i="2"/>
  <c r="I319" i="2"/>
  <c r="I137" i="2"/>
  <c r="J302" i="2"/>
  <c r="K36" i="2"/>
  <c r="I138" i="2"/>
  <c r="L50" i="2"/>
  <c r="K68" i="2"/>
  <c r="K309" i="2" s="1"/>
  <c r="K313" i="2" s="1"/>
  <c r="K30" i="2"/>
  <c r="J309" i="2"/>
  <c r="J313" i="2" s="1"/>
  <c r="L31" i="2"/>
  <c r="K29" i="2"/>
  <c r="K20" i="2"/>
  <c r="M302" i="2"/>
  <c r="L302" i="2"/>
  <c r="K302" i="2"/>
  <c r="F244" i="2"/>
  <c r="F80" i="2"/>
  <c r="F82" i="2"/>
  <c r="F246" i="2"/>
  <c r="F49" i="2"/>
  <c r="F238" i="2"/>
  <c r="F81" i="2"/>
  <c r="F83" i="2"/>
  <c r="F58" i="2"/>
  <c r="L56" i="2"/>
  <c r="K54" i="2"/>
  <c r="F38" i="2"/>
  <c r="F85" i="2"/>
  <c r="F252" i="2"/>
  <c r="F86" i="2"/>
  <c r="F261" i="2"/>
  <c r="F88" i="2"/>
  <c r="F258" i="2"/>
  <c r="F84" i="2"/>
  <c r="F40" i="2"/>
  <c r="F39" i="2"/>
  <c r="L35" i="2"/>
  <c r="L33" i="2" s="1"/>
  <c r="F46" i="2"/>
  <c r="F64" i="2"/>
  <c r="F62" i="2"/>
  <c r="F25" i="2"/>
  <c r="F21" i="2"/>
  <c r="F27" i="2"/>
  <c r="F57" i="2"/>
  <c r="F53" i="2"/>
  <c r="F45" i="2"/>
  <c r="J28" i="2"/>
  <c r="F52" i="2"/>
  <c r="F23" i="2"/>
  <c r="F65" i="2"/>
  <c r="F42" i="2"/>
  <c r="F51" i="2"/>
  <c r="F61" i="2"/>
  <c r="F32" i="2"/>
  <c r="F43" i="2"/>
  <c r="F44" i="2"/>
  <c r="F59" i="2"/>
  <c r="F41" i="2"/>
  <c r="F24" i="2"/>
  <c r="I198" i="2"/>
  <c r="I320" i="2" s="1"/>
  <c r="I318" i="2" s="1"/>
  <c r="I231" i="2"/>
  <c r="L242" i="2"/>
  <c r="K241" i="2"/>
  <c r="L299" i="2"/>
  <c r="K235" i="2"/>
  <c r="I175" i="2"/>
  <c r="K299" i="2"/>
  <c r="M299" i="2"/>
  <c r="L48" i="2"/>
  <c r="K47" i="2"/>
  <c r="L37" i="2"/>
  <c r="L36" i="2" s="1"/>
  <c r="I95" i="2"/>
  <c r="I91" i="2" s="1"/>
  <c r="J91" i="2" s="1"/>
  <c r="I304" i="2"/>
  <c r="I184" i="2"/>
  <c r="I303" i="2"/>
  <c r="J79" i="2"/>
  <c r="I114" i="2"/>
  <c r="I265" i="2"/>
  <c r="J232" i="2"/>
  <c r="K232" i="2" s="1"/>
  <c r="L232" i="2" s="1"/>
  <c r="M232" i="2" s="1"/>
  <c r="I268" i="2"/>
  <c r="L210" i="2" l="1"/>
  <c r="I196" i="2"/>
  <c r="I309" i="2"/>
  <c r="I313" i="2" s="1"/>
  <c r="I136" i="2"/>
  <c r="K28" i="2"/>
  <c r="I302" i="2"/>
  <c r="K79" i="2"/>
  <c r="J89" i="2"/>
  <c r="L20" i="2"/>
  <c r="M31" i="2"/>
  <c r="L29" i="2"/>
  <c r="M50" i="2"/>
  <c r="L68" i="2"/>
  <c r="L309" i="2" s="1"/>
  <c r="L313" i="2" s="1"/>
  <c r="L30" i="2"/>
  <c r="K332" i="2"/>
  <c r="J332" i="2"/>
  <c r="I315" i="2"/>
  <c r="F255" i="2"/>
  <c r="M56" i="2"/>
  <c r="L54" i="2"/>
  <c r="M35" i="2"/>
  <c r="M33" i="2" s="1"/>
  <c r="M242" i="2"/>
  <c r="M241" i="2" s="1"/>
  <c r="L241" i="2"/>
  <c r="J231" i="2"/>
  <c r="L235" i="2"/>
  <c r="K231" i="2"/>
  <c r="M48" i="2"/>
  <c r="L47" i="2"/>
  <c r="M37" i="2"/>
  <c r="M36" i="2" s="1"/>
  <c r="I173" i="2"/>
  <c r="I267" i="2"/>
  <c r="J267" i="2" s="1"/>
  <c r="K267" i="2" s="1"/>
  <c r="L267" i="2" s="1"/>
  <c r="M267" i="2" s="1"/>
  <c r="J268" i="2"/>
  <c r="K268" i="2" s="1"/>
  <c r="L268" i="2" s="1"/>
  <c r="M268" i="2" s="1"/>
  <c r="I264" i="2"/>
  <c r="J264" i="2" s="1"/>
  <c r="K264" i="2" s="1"/>
  <c r="L264" i="2" s="1"/>
  <c r="M264" i="2" s="1"/>
  <c r="J265" i="2"/>
  <c r="K265" i="2" s="1"/>
  <c r="L265" i="2" s="1"/>
  <c r="M265" i="2" s="1"/>
  <c r="H160" i="2"/>
  <c r="F161" i="2"/>
  <c r="F163" i="2"/>
  <c r="F160" i="2" s="1"/>
  <c r="M210" i="2" l="1"/>
  <c r="L28" i="2"/>
  <c r="M47" i="2"/>
  <c r="L332" i="2"/>
  <c r="M68" i="2"/>
  <c r="M309" i="2" s="1"/>
  <c r="M313" i="2" s="1"/>
  <c r="M30" i="2"/>
  <c r="M29" i="2"/>
  <c r="F31" i="2"/>
  <c r="M20" i="2"/>
  <c r="L79" i="2"/>
  <c r="K89" i="2"/>
  <c r="M54" i="2"/>
  <c r="F56" i="2"/>
  <c r="F54" i="2" s="1"/>
  <c r="F242" i="2"/>
  <c r="F241" i="2" s="1"/>
  <c r="F35" i="2"/>
  <c r="F33" i="2" s="1"/>
  <c r="F36" i="2"/>
  <c r="F48" i="2"/>
  <c r="F37" i="2"/>
  <c r="M235" i="2"/>
  <c r="M231" i="2" s="1"/>
  <c r="L231" i="2"/>
  <c r="M173" i="2"/>
  <c r="G159" i="2"/>
  <c r="G172" i="2" s="1"/>
  <c r="F277" i="2"/>
  <c r="F298" i="2"/>
  <c r="G212" i="2"/>
  <c r="F212" i="2" s="1"/>
  <c r="M28" i="2" l="1"/>
  <c r="M79" i="2"/>
  <c r="M89" i="2" s="1"/>
  <c r="L89" i="2"/>
  <c r="F272" i="2"/>
  <c r="G47" i="2"/>
  <c r="F47" i="2" s="1"/>
  <c r="F68" i="2"/>
  <c r="F50" i="2"/>
  <c r="F159" i="2"/>
  <c r="H173" i="2"/>
  <c r="M332" i="2"/>
  <c r="F111" i="2" l="1"/>
  <c r="F112" i="2"/>
  <c r="G110" i="2"/>
  <c r="F110" i="2" s="1"/>
  <c r="F172" i="2" l="1"/>
  <c r="F156" i="2"/>
  <c r="G173" i="2" l="1"/>
  <c r="F173" i="2" s="1"/>
  <c r="H197" i="2"/>
  <c r="H319" i="2" l="1"/>
  <c r="F191" i="2"/>
  <c r="F192" i="2"/>
  <c r="H198" i="2"/>
  <c r="H320" i="2" s="1"/>
  <c r="H318" i="2" s="1"/>
  <c r="H196" i="2" l="1"/>
  <c r="G319" i="2"/>
  <c r="F319" i="2" s="1"/>
  <c r="F30" i="2"/>
  <c r="G295" i="2" l="1"/>
  <c r="F295" i="2" s="1"/>
  <c r="H301" i="2"/>
  <c r="H300" i="2"/>
  <c r="H303" i="2" s="1"/>
  <c r="O303" i="2" s="1"/>
  <c r="G286" i="2"/>
  <c r="H269" i="2"/>
  <c r="G269" i="2"/>
  <c r="H266" i="2"/>
  <c r="H255" i="2"/>
  <c r="G255" i="2"/>
  <c r="G249" i="2"/>
  <c r="F249" i="2" s="1"/>
  <c r="H235" i="2"/>
  <c r="G235" i="2"/>
  <c r="G266" i="2" s="1"/>
  <c r="H232" i="2"/>
  <c r="G232" i="2"/>
  <c r="H210" i="2"/>
  <c r="G210" i="2"/>
  <c r="F207" i="2"/>
  <c r="F204" i="2"/>
  <c r="F201" i="2"/>
  <c r="F189" i="2"/>
  <c r="F188" i="2"/>
  <c r="H187" i="2"/>
  <c r="G187" i="2"/>
  <c r="H186" i="2"/>
  <c r="G186" i="2"/>
  <c r="H185" i="2"/>
  <c r="G185" i="2"/>
  <c r="F183" i="2"/>
  <c r="F182" i="2"/>
  <c r="H181" i="2"/>
  <c r="G181" i="2"/>
  <c r="F180" i="2"/>
  <c r="F179" i="2"/>
  <c r="H178" i="2"/>
  <c r="G178" i="2"/>
  <c r="H177" i="2"/>
  <c r="G177" i="2"/>
  <c r="H176" i="2"/>
  <c r="G176" i="2"/>
  <c r="F166" i="2"/>
  <c r="F165" i="2" s="1"/>
  <c r="H165" i="2"/>
  <c r="G165" i="2"/>
  <c r="F162" i="2"/>
  <c r="G154" i="2"/>
  <c r="F153" i="2"/>
  <c r="H152" i="2"/>
  <c r="G152" i="2"/>
  <c r="F151" i="2"/>
  <c r="H150" i="2"/>
  <c r="G150" i="2"/>
  <c r="F149" i="2"/>
  <c r="H148" i="2"/>
  <c r="G148" i="2"/>
  <c r="F147" i="2"/>
  <c r="F146" i="2"/>
  <c r="H145" i="2"/>
  <c r="G145" i="2"/>
  <c r="F144" i="2"/>
  <c r="H143" i="2"/>
  <c r="G143" i="2"/>
  <c r="F142" i="2"/>
  <c r="H141" i="2"/>
  <c r="G141" i="2"/>
  <c r="F120" i="2"/>
  <c r="F119" i="2"/>
  <c r="F118" i="2"/>
  <c r="F117" i="2"/>
  <c r="H116" i="2"/>
  <c r="H115" i="2"/>
  <c r="G115" i="2"/>
  <c r="F113" i="2"/>
  <c r="F109" i="2"/>
  <c r="F108" i="2"/>
  <c r="H107" i="2"/>
  <c r="G107" i="2"/>
  <c r="F106" i="2"/>
  <c r="F105" i="2"/>
  <c r="F104" i="2"/>
  <c r="F103" i="2"/>
  <c r="F102" i="2"/>
  <c r="H101" i="2"/>
  <c r="G101" i="2"/>
  <c r="F100" i="2"/>
  <c r="H98" i="2"/>
  <c r="G98" i="2"/>
  <c r="H97" i="2"/>
  <c r="H94" i="2" s="1"/>
  <c r="G97" i="2"/>
  <c r="H96" i="2"/>
  <c r="H93" i="2" s="1"/>
  <c r="G96" i="2"/>
  <c r="G93" i="2" s="1"/>
  <c r="H79" i="2"/>
  <c r="H89" i="2" s="1"/>
  <c r="G79" i="2"/>
  <c r="G76" i="2"/>
  <c r="G70" i="2"/>
  <c r="H60" i="2"/>
  <c r="F60" i="2" s="1"/>
  <c r="H28" i="2"/>
  <c r="H26" i="2"/>
  <c r="G26" i="2"/>
  <c r="I22" i="2"/>
  <c r="I67" i="2" s="1"/>
  <c r="H22" i="2"/>
  <c r="G22" i="2"/>
  <c r="H20" i="2"/>
  <c r="H138" i="2" l="1"/>
  <c r="H228" i="2" s="1"/>
  <c r="H137" i="2"/>
  <c r="I66" i="2"/>
  <c r="I226" i="2"/>
  <c r="H67" i="2"/>
  <c r="I332" i="2"/>
  <c r="F20" i="2"/>
  <c r="G67" i="2"/>
  <c r="G66" i="2" s="1"/>
  <c r="F266" i="2"/>
  <c r="F286" i="2"/>
  <c r="F26" i="2"/>
  <c r="F287" i="2"/>
  <c r="G304" i="2"/>
  <c r="F232" i="2"/>
  <c r="F269" i="2"/>
  <c r="F76" i="2"/>
  <c r="F154" i="2"/>
  <c r="F70" i="2"/>
  <c r="G89" i="2"/>
  <c r="F89" i="2" s="1"/>
  <c r="F79" i="2"/>
  <c r="G94" i="2"/>
  <c r="G138" i="2" s="1"/>
  <c r="F97" i="2"/>
  <c r="F94" i="2" s="1"/>
  <c r="G28" i="2"/>
  <c r="F28" i="2" s="1"/>
  <c r="F29" i="2"/>
  <c r="H231" i="2"/>
  <c r="G231" i="2"/>
  <c r="G184" i="2"/>
  <c r="H268" i="2"/>
  <c r="H267" i="2" s="1"/>
  <c r="H304" i="2"/>
  <c r="J22" i="2"/>
  <c r="J67" i="2" s="1"/>
  <c r="G137" i="2"/>
  <c r="F178" i="2"/>
  <c r="F115" i="2"/>
  <c r="G95" i="2"/>
  <c r="G91" i="2" s="1"/>
  <c r="H175" i="2"/>
  <c r="H114" i="2"/>
  <c r="F145" i="2"/>
  <c r="F152" i="2"/>
  <c r="G114" i="2"/>
  <c r="F116" i="2"/>
  <c r="F101" i="2"/>
  <c r="F107" i="2"/>
  <c r="F150" i="2"/>
  <c r="G320" i="2"/>
  <c r="H184" i="2"/>
  <c r="F210" i="2"/>
  <c r="F176" i="2"/>
  <c r="G268" i="2"/>
  <c r="F143" i="2"/>
  <c r="G175" i="2"/>
  <c r="H95" i="2"/>
  <c r="F181" i="2"/>
  <c r="F187" i="2"/>
  <c r="F235" i="2"/>
  <c r="F96" i="2"/>
  <c r="F93" i="2" s="1"/>
  <c r="F98" i="2"/>
  <c r="F99" i="2"/>
  <c r="F141" i="2"/>
  <c r="F148" i="2"/>
  <c r="F177" i="2"/>
  <c r="F186" i="2"/>
  <c r="G316" i="2"/>
  <c r="F316" i="2" s="1"/>
  <c r="F185" i="2"/>
  <c r="G77" i="2"/>
  <c r="F77" i="2" s="1"/>
  <c r="G265" i="2"/>
  <c r="G300" i="2"/>
  <c r="F300" i="2" s="1"/>
  <c r="G285" i="2"/>
  <c r="H265" i="2"/>
  <c r="H264" i="2" s="1"/>
  <c r="H302" i="2" l="1"/>
  <c r="O302" i="2" s="1"/>
  <c r="O305" i="2"/>
  <c r="H136" i="2"/>
  <c r="J66" i="2"/>
  <c r="J226" i="2"/>
  <c r="H66" i="2"/>
  <c r="N228" i="2"/>
  <c r="F137" i="2"/>
  <c r="G315" i="2"/>
  <c r="F231" i="2"/>
  <c r="F138" i="2"/>
  <c r="F320" i="2"/>
  <c r="F318" i="2" s="1"/>
  <c r="G318" i="2"/>
  <c r="F265" i="2"/>
  <c r="F264" i="2" s="1"/>
  <c r="G267" i="2"/>
  <c r="F268" i="2"/>
  <c r="F267" i="2" s="1"/>
  <c r="F285" i="2"/>
  <c r="H299" i="2"/>
  <c r="K22" i="2"/>
  <c r="K67" i="2" s="1"/>
  <c r="F304" i="2"/>
  <c r="F301" i="2"/>
  <c r="H315" i="2"/>
  <c r="F114" i="2"/>
  <c r="F95" i="2"/>
  <c r="F91" i="2" s="1"/>
  <c r="H91" i="2"/>
  <c r="G136" i="2"/>
  <c r="F175" i="2"/>
  <c r="F184" i="2"/>
  <c r="G75" i="2"/>
  <c r="F75" i="2" s="1"/>
  <c r="G303" i="2"/>
  <c r="F303" i="2" s="1"/>
  <c r="G299" i="2"/>
  <c r="G264" i="2"/>
  <c r="H309" i="2" l="1"/>
  <c r="H313" i="2" s="1"/>
  <c r="N227" i="2"/>
  <c r="H226" i="2"/>
  <c r="F315" i="2"/>
  <c r="K66" i="2"/>
  <c r="K226" i="2"/>
  <c r="F227" i="2"/>
  <c r="J310" i="2"/>
  <c r="J308" i="2" s="1"/>
  <c r="H310" i="2"/>
  <c r="I310" i="2"/>
  <c r="I308" i="2" s="1"/>
  <c r="F136" i="2"/>
  <c r="F302" i="2"/>
  <c r="G309" i="2"/>
  <c r="G313" i="2" s="1"/>
  <c r="L22" i="2"/>
  <c r="L67" i="2" s="1"/>
  <c r="F299" i="2"/>
  <c r="G302" i="2"/>
  <c r="N226" i="2" l="1"/>
  <c r="P226" i="2"/>
  <c r="H332" i="2"/>
  <c r="L66" i="2"/>
  <c r="L226" i="2"/>
  <c r="F313" i="2"/>
  <c r="G332" i="2"/>
  <c r="I314" i="2"/>
  <c r="I312" i="2" s="1"/>
  <c r="H308" i="2"/>
  <c r="H314" i="2"/>
  <c r="H312" i="2" s="1"/>
  <c r="J314" i="2"/>
  <c r="J312" i="2" s="1"/>
  <c r="M22" i="2"/>
  <c r="F309" i="2"/>
  <c r="F332" i="2" s="1"/>
  <c r="F22" i="2" l="1"/>
  <c r="M67" i="2"/>
  <c r="M66" i="2" l="1"/>
  <c r="F66" i="2" s="1"/>
  <c r="M226" i="2"/>
  <c r="F67" i="2"/>
  <c r="G226" i="2" l="1"/>
  <c r="G310" i="2"/>
  <c r="M310" i="2"/>
  <c r="M333" i="2" s="1"/>
  <c r="K310" i="2"/>
  <c r="K333" i="2" s="1"/>
  <c r="L310" i="2"/>
  <c r="L333" i="2" s="1"/>
  <c r="F228" i="2"/>
  <c r="F226" i="2" s="1"/>
  <c r="I333" i="2"/>
  <c r="H333" i="2"/>
  <c r="G308" i="2" l="1"/>
  <c r="G331" i="2" s="1"/>
  <c r="G314" i="2"/>
  <c r="G333" i="2"/>
  <c r="L308" i="2"/>
  <c r="L331" i="2" s="1"/>
  <c r="L314" i="2"/>
  <c r="L312" i="2" s="1"/>
  <c r="K308" i="2"/>
  <c r="K331" i="2" s="1"/>
  <c r="K314" i="2"/>
  <c r="K312" i="2" s="1"/>
  <c r="M308" i="2"/>
  <c r="M331" i="2" s="1"/>
  <c r="M314" i="2"/>
  <c r="M312" i="2" s="1"/>
  <c r="J331" i="2"/>
  <c r="J333" i="2"/>
  <c r="I331" i="2"/>
  <c r="H331" i="2"/>
  <c r="F310" i="2"/>
  <c r="F308" i="2" l="1"/>
  <c r="F331" i="2" s="1"/>
  <c r="F333" i="2"/>
  <c r="G312" i="2"/>
  <c r="F314" i="2"/>
  <c r="F312" i="2" s="1"/>
  <c r="L41" i="3"/>
  <c r="F41" i="3" s="1"/>
  <c r="J58" i="3"/>
  <c r="L58" i="3"/>
  <c r="M58" i="3"/>
  <c r="I58" i="3" l="1"/>
  <c r="F58" i="3" l="1"/>
</calcChain>
</file>

<file path=xl/sharedStrings.xml><?xml version="1.0" encoding="utf-8"?>
<sst xmlns="http://schemas.openxmlformats.org/spreadsheetml/2006/main" count="1042" uniqueCount="392">
  <si>
    <t>Приложение 2 к муниципальной программе</t>
  </si>
  <si>
    <t xml:space="preserve">«Развитие образования в городе Ханты-Мансийске </t>
  </si>
  <si>
    <t>Перечень программных мероприятий</t>
  </si>
  <si>
    <t>№ п/п</t>
  </si>
  <si>
    <t>Мероприятия программы</t>
  </si>
  <si>
    <t>Главный распорядитель бюджетных средств</t>
  </si>
  <si>
    <t>Исполнители программы</t>
  </si>
  <si>
    <t>Источники финансиро-вания</t>
  </si>
  <si>
    <t xml:space="preserve">Финансовые затраты на реализацию </t>
  </si>
  <si>
    <t>(тыс. рублей)</t>
  </si>
  <si>
    <t>всего</t>
  </si>
  <si>
    <t>в том числе</t>
  </si>
  <si>
    <t>2014 год</t>
  </si>
  <si>
    <t>2015 год</t>
  </si>
  <si>
    <t>2016 год</t>
  </si>
  <si>
    <t>Цель: Обеспечение доступности качественного образования, соответствующего современным требованиям инновационного развития экономики муниципального образования, современным потребностям общества и каждого жителя города Ханты-Мансийска</t>
  </si>
  <si>
    <t>Подпрограмма I «Развитие системы общего и дополнительного образования»</t>
  </si>
  <si>
    <t>Задача 1. Обеспечение условий для развития индивидуальных способностей, личностных качеств, творческого потенциала детей</t>
  </si>
  <si>
    <t xml:space="preserve"> 1.1.</t>
  </si>
  <si>
    <t>Поддержка образовательных учреждений, активно  внедряющих инновационные образовательные технологии</t>
  </si>
  <si>
    <t>Департамент образования Администрации города Ханты-Мансийска</t>
  </si>
  <si>
    <t>бюджет города</t>
  </si>
  <si>
    <t>1.1.1.</t>
  </si>
  <si>
    <t>Стимулирование инновационной деятельности образовательных учреждений  города через поддержку их программ развития в рамках системы  грантов Главы города в образовании</t>
  </si>
  <si>
    <t xml:space="preserve"> 1.2.</t>
  </si>
  <si>
    <t>Поддержка лучших учителей</t>
  </si>
  <si>
    <t>1.2.1.</t>
  </si>
  <si>
    <t>Призовой фонд Главы города для победителей и призеров городских конкурсов</t>
  </si>
  <si>
    <t>1.2.2.</t>
  </si>
  <si>
    <t>Стимулирование повышения качества работы педагогических работников образовательных учреждений города в рамках системы  грантов Главы города «Лучший педагог»</t>
  </si>
  <si>
    <t>1.2.3.</t>
  </si>
  <si>
    <t>Стимулирование инновационной деятельности руководителей  образовательных учреждений города в рамках системы  грантов Главы города «Лучший руководитель образовательного учреждения»</t>
  </si>
  <si>
    <t xml:space="preserve"> 1.3.</t>
  </si>
  <si>
    <t>Поддержка научно-инновационной деятельности</t>
  </si>
  <si>
    <t>1.3.1.</t>
  </si>
  <si>
    <t>Поддержка участников региональных и всероссийских конкурсов</t>
  </si>
  <si>
    <t xml:space="preserve"> 1.4.</t>
  </si>
  <si>
    <t>Поддержка способной и талантливой молодежи</t>
  </si>
  <si>
    <t>1.4.1.</t>
  </si>
  <si>
    <t xml:space="preserve">Участие в конкурсах, фестивалях детского и юношеского творчества, проведение городских творческих конкурсов </t>
  </si>
  <si>
    <t>1.4.2.</t>
  </si>
  <si>
    <t>Организация и проведение городской олимпиады «Юниор»</t>
  </si>
  <si>
    <t>1.4.3.</t>
  </si>
  <si>
    <t>Организация и проведение городской Спартакиады «Школа безопасности» и участие в финальном этапе окружных соревнований «Школа безопасности»</t>
  </si>
  <si>
    <t>1.4.4.</t>
  </si>
  <si>
    <t>Участие и проведение турниров, фестивалей и соревнований по шахматам</t>
  </si>
  <si>
    <t>1.4.5.</t>
  </si>
  <si>
    <t>Организация и проведение городской конференции «Молодые исследователи» в рамках окружной исследовательской конференции «Шаг в будущее» и участие во Всероссийском форуме научной молодежной конференции</t>
  </si>
  <si>
    <t>1.4.6.</t>
  </si>
  <si>
    <t>Организация, проведение и участие в соревнованиях по профилактике детского дорожно-транспортного травматизма</t>
  </si>
  <si>
    <t>1.4.7.</t>
  </si>
  <si>
    <t xml:space="preserve">Участие и проведение соревнований по техническим видам спорта: судомоделизм, автомоделизм, авиамоделизм, ракетомоделизм, спортивная радиопеленгация и т.п., проведение Дня космонавтики </t>
  </si>
  <si>
    <t>1.4.8.</t>
  </si>
  <si>
    <t xml:space="preserve">Организация и проведение муниципальных  этапов Всероссийских спортивных игр «Президентские состязания», «Президентские спортивные игры» </t>
  </si>
  <si>
    <t>1.4.9.</t>
  </si>
  <si>
    <t>Организация и проведение муниципального этапа Всероссийской олимпиады школьников по предметам</t>
  </si>
  <si>
    <t>1.4.10.</t>
  </si>
  <si>
    <t>Проведение и участие в слетах, конкурсах, акциях, конференциях, экспедициях эколого-биологической направленности</t>
  </si>
  <si>
    <t>1.4.11.</t>
  </si>
  <si>
    <t>Участие и проведение фестивалей, конкурсов национального творчества</t>
  </si>
  <si>
    <t>1.4.12.</t>
  </si>
  <si>
    <t>Участие школьников города  в этапах  Всероссийских  спортивных игр  школьников «Президентские спортивные игры», «Президентские состязания»,  в конкурсах, смотрах, фестивалях окружного, областного, регионального и всероссийского уровней</t>
  </si>
  <si>
    <t>1.4.13.</t>
  </si>
  <si>
    <t>бюджет округа</t>
  </si>
  <si>
    <t>1.4.14.</t>
  </si>
  <si>
    <t>Организация и проведение  мероприятий в рамках Дня защиты детей, Дня независимости России, участие в возложениях, шествиях, конкурсах, конференциях</t>
  </si>
  <si>
    <t>1.4.15.</t>
  </si>
  <si>
    <t>Городская сессия старшеклассников</t>
  </si>
  <si>
    <t>1.4.16.</t>
  </si>
  <si>
    <t>Выездные конкурсы, соревнования</t>
  </si>
  <si>
    <t>1.4.17.</t>
  </si>
  <si>
    <t>Чествование медалистов</t>
  </si>
  <si>
    <t>1.4.18.</t>
  </si>
  <si>
    <t>Стимулирование мотивации к обучению учащихся  образовательных учреждений города в рамках системы  грантов Главы города «Лучший ученик»</t>
  </si>
  <si>
    <t>1.4.19.</t>
  </si>
  <si>
    <t>Организация и проведение городских соревнований «Веселые старты» среди детей с ограниченными возможностями здоровья дошкольного возраста</t>
  </si>
  <si>
    <t>1.4.20.</t>
  </si>
  <si>
    <t>Городской выпускной бал «Разноцветные паруса детства»</t>
  </si>
  <si>
    <t xml:space="preserve"> 1.5.</t>
  </si>
  <si>
    <t>Поддержка системы воспитания</t>
  </si>
  <si>
    <t>1.5.1.</t>
  </si>
  <si>
    <t>Работа телефона «Доверие»</t>
  </si>
  <si>
    <t>1.5.2.</t>
  </si>
  <si>
    <t> 0,00</t>
  </si>
  <si>
    <t>1.5.3.</t>
  </si>
  <si>
    <t>Городской конкурс «Лучший управляющий совет года»</t>
  </si>
  <si>
    <t xml:space="preserve"> 1.6.</t>
  </si>
  <si>
    <t>Информационное и социологическое сопровождение программы</t>
  </si>
  <si>
    <t>Итого по задаче 1</t>
  </si>
  <si>
    <t>всего:</t>
  </si>
  <si>
    <t>Задача 2. Создание системных механизмов сохранения и укрепления  здоровья детей в учреждениях образования</t>
  </si>
  <si>
    <t>2.1.</t>
  </si>
  <si>
    <t>Организация питания детей в оздоровительных лагерях с дневным пребыванием детей, оздоровительных сменах, организованных на  базе муниципальных образовательных организаций города Ханты-Мансийска</t>
  </si>
  <si>
    <t>бюджет автономного округа</t>
  </si>
  <si>
    <t>2.2.</t>
  </si>
  <si>
    <t>2.3.</t>
  </si>
  <si>
    <t>Создание условий по сохранению и укреплению здоровья обучающихся и воспитанников</t>
  </si>
  <si>
    <t>Итого по задаче 2</t>
  </si>
  <si>
    <t>Задача 3. Модернизация системы подготовки, переподготовки и повышения квалификации педагогов и руководителей образовательных учреждений</t>
  </si>
  <si>
    <t>3.1.</t>
  </si>
  <si>
    <t>Повышение уровня педагогического мастерства</t>
  </si>
  <si>
    <t>3.1.1.</t>
  </si>
  <si>
    <t>Проведение городского конкурса «Учитель года»</t>
  </si>
  <si>
    <t>3.1.2.</t>
  </si>
  <si>
    <t>Проведение городского конкурса «Воспитатель года»</t>
  </si>
  <si>
    <t>3.1.3.</t>
  </si>
  <si>
    <t>Проведение городского конкурса «Сердце отдаю детям»</t>
  </si>
  <si>
    <t>3.1.4.</t>
  </si>
  <si>
    <t>Проведение городского конкурса «Молодой учитель»</t>
  </si>
  <si>
    <t>3.1.5.</t>
  </si>
  <si>
    <t>Проведение городского конкурса «Ступени мастерства»</t>
  </si>
  <si>
    <t>3.1.6.</t>
  </si>
  <si>
    <t>Проведение городского конкурса «Библиотекарь года»</t>
  </si>
  <si>
    <t>3.1.7.</t>
  </si>
  <si>
    <t>3.1.8.</t>
  </si>
  <si>
    <t>Городская коллегия</t>
  </si>
  <si>
    <t>Итого по задаче  3</t>
  </si>
  <si>
    <t>Задача 4. Оснащение материально-технической базы образовательных учреждений в соответствии с современными требованиями</t>
  </si>
  <si>
    <t>4.1.</t>
  </si>
  <si>
    <t>Приобретение учебного, учебно-наглядного и учебно-производственного оборудования</t>
  </si>
  <si>
    <t>4.1.1.</t>
  </si>
  <si>
    <t>Приобретение лабораторных комплектов для образовательных учреждений</t>
  </si>
  <si>
    <t xml:space="preserve">по каждому разделу физики </t>
  </si>
  <si>
    <t xml:space="preserve">по каждому из разделов химии </t>
  </si>
  <si>
    <t xml:space="preserve">по каждому из разделов биологии </t>
  </si>
  <si>
    <t>4.1.2.</t>
  </si>
  <si>
    <t xml:space="preserve">Приобретение комплектов карт,  лицензионного демонстрационного компьютерного программного обеспечения по каждому из разделов географии и истории </t>
  </si>
  <si>
    <t>4.1.3.</t>
  </si>
  <si>
    <t>4.1.4.</t>
  </si>
  <si>
    <t>4.2.</t>
  </si>
  <si>
    <t>Обеспечение обучающихся учебниками и учебными пособиями</t>
  </si>
  <si>
    <t>4.2.1.</t>
  </si>
  <si>
    <t>Обеспечение обучающихся федеральным комплектом учебников и учебными пособиями, рекомендованными или допущенными к использованию в образовательном процессе в имеющих государственную аккредитацию и реализующих образовательные программы общего образования  образовательных учреждениях (в том числе возмещение за счет средств федерального бюджета)</t>
  </si>
  <si>
    <t>федеральный бюджет</t>
  </si>
  <si>
    <t>4.2.2.</t>
  </si>
  <si>
    <t>Обеспечение образовательных учреждений,  экспертных и аттестационных комиссий бланками документов государственного и регионального образца, программно-электронными средствами, методическими рекомендациями</t>
  </si>
  <si>
    <t>4.3.</t>
  </si>
  <si>
    <t>Оснащение образовательных учреждений современными средствами информатизации</t>
  </si>
  <si>
    <t>4.3.1.</t>
  </si>
  <si>
    <t>Замена устаревшего компьютерного оборудования в стационарных компьютерных классах, доукомплектование образовательных организаций  мобильными компьютерными классами в государственных образовательных учреждениях, в том числе:</t>
  </si>
  <si>
    <t>4.3.1.1.</t>
  </si>
  <si>
    <t>остатки прошлых лет</t>
  </si>
  <si>
    <t>4.3.2.</t>
  </si>
  <si>
    <t>Приобретение интерактивных устройств, мультимедийного оборудования и цифровых лабораторий, серверного и коммутационного оборудования</t>
  </si>
  <si>
    <t>4.3.3.</t>
  </si>
  <si>
    <t>Создание  единой информационной  образовательной среды образовательных учреждений (сеть (ЛВС) образовательной организации, подключенная  по широкополосному каналу к сети Интернет на скорости 512 Кбит/с)</t>
  </si>
  <si>
    <t>4.4.</t>
  </si>
  <si>
    <t>Информационное обеспечение образовательных учреждений в части доступа к образовательным ресурсам сети Интернет, в том числе:</t>
  </si>
  <si>
    <t>4.4.1.</t>
  </si>
  <si>
    <t>4.5.</t>
  </si>
  <si>
    <t>4.6.</t>
  </si>
  <si>
    <t>Итого по задаче 4</t>
  </si>
  <si>
    <t>Задача 5. Развитие системы дополнительного образования детей</t>
  </si>
  <si>
    <t>5.1.</t>
  </si>
  <si>
    <t>Обеспечение реализации программ дополнительного образования в частных организациях дополнительного образования</t>
  </si>
  <si>
    <t>5.2.</t>
  </si>
  <si>
    <t>Государственная поддержка системы дополнительного образования детей</t>
  </si>
  <si>
    <t>5.3.</t>
  </si>
  <si>
    <t>Развитие кадрового потенциала</t>
  </si>
  <si>
    <t>5.4.</t>
  </si>
  <si>
    <t xml:space="preserve"> Приобретение учебного и учебно-производственного оборудования</t>
  </si>
  <si>
    <t>5.5.</t>
  </si>
  <si>
    <t>Научно-методическое сопровождение развития дополнительного образования</t>
  </si>
  <si>
    <t>5.6.</t>
  </si>
  <si>
    <t>Мероприятия, направленные на развитие технического творчества обучающихся</t>
  </si>
  <si>
    <t>5.7.</t>
  </si>
  <si>
    <t xml:space="preserve"> Мероприятия, направленные на развитие негосударственного сектора в предоставлении услуг </t>
  </si>
  <si>
    <t>Итого по задаче 5</t>
  </si>
  <si>
    <t>Задача 6. Обеспечение комплексной безопасности и комфортных условий образовательного процесса в общем и дополнительном образовании</t>
  </si>
  <si>
    <t>6.1.</t>
  </si>
  <si>
    <t>Укрепление комплексной безопасности образовательных учреждений</t>
  </si>
  <si>
    <t>Департамент городского хозяйства Администрации города Ханты-Мансийска</t>
  </si>
  <si>
    <t>6.2.</t>
  </si>
  <si>
    <t>Проведение капитальных ремонтов и реконструкций в муниципальных образовательных учреждениях</t>
  </si>
  <si>
    <t>Департамент градостроительства и архитектуры Администрации города Ханты-Мансийска</t>
  </si>
  <si>
    <t xml:space="preserve">Муниципальное казенное учреждение «Управление капитального строительства города Ханты-Мансийска» </t>
  </si>
  <si>
    <t>6.3.</t>
  </si>
  <si>
    <t>Повышение квалификации кадров для сферы питания обучающихся</t>
  </si>
  <si>
    <t>6.3.1.</t>
  </si>
  <si>
    <t>Обучение персонала  столовых образовательных учреждений правилам эксплуатации нового технологического оборудования</t>
  </si>
  <si>
    <t>6.3.2.</t>
  </si>
  <si>
    <t>Повышение квалификации организаторов питания обучающихся</t>
  </si>
  <si>
    <t>Итого по задаче 6</t>
  </si>
  <si>
    <t>Задача 7. Развитие инфраструктуры общего и дополнительного образования</t>
  </si>
  <si>
    <t>7.1.</t>
  </si>
  <si>
    <t xml:space="preserve"> Развитие инфраструктуры дошкольных образовательных учреждений</t>
  </si>
  <si>
    <t>Департамент градостроительства и архитектуры Администрации города Ханты-Мансийска, Департамент образования Администрации города Ханты-Мансийска</t>
  </si>
  <si>
    <t>7.1.1.</t>
  </si>
  <si>
    <t>Проектирование, строительство (реконструкция) объектов дошкольного образования (определение мест возведения, разработка, согласование и утверждение проектно-сметной документации 3 учреждений дошкольного образования общей мощностью на 900 мест)</t>
  </si>
  <si>
    <t>7.1.2.</t>
  </si>
  <si>
    <t>Проведение независимой экспертизы технического состояния 12 ветхих зданий дошкольных образовательных учреждений</t>
  </si>
  <si>
    <t>7.2.</t>
  </si>
  <si>
    <t>Развитие инфраструктуры муниципальных общеобразовательных учреждений</t>
  </si>
  <si>
    <t>7.2.1.</t>
  </si>
  <si>
    <t>Проектирование, строительство (реконструкция) объектов образования (определение мест возведения, разработка, согласование и утверждение проектно-сметной документации восьми общеобразовательных учреждений образования общей мощностью на 6 400 мест)</t>
  </si>
  <si>
    <t>7.3.</t>
  </si>
  <si>
    <t>Департамент муниципальной собственности Администрации города Ханты-Мансийска</t>
  </si>
  <si>
    <t>Итого по задаче 7</t>
  </si>
  <si>
    <t xml:space="preserve">Задача 8. Вовлечение обучающихся в социальную активную деятельность, развитие детских и юношеских объединений                    </t>
  </si>
  <si>
    <t>8.1.</t>
  </si>
  <si>
    <t>Организация межшкольного центра по работе с одаренными детьми</t>
  </si>
  <si>
    <t>8.2.</t>
  </si>
  <si>
    <t>Организация проведения городской спартакиады среди детей с ограниченными возможностями здоровья «Шаг навстречу»</t>
  </si>
  <si>
    <t>8.3.</t>
  </si>
  <si>
    <t>Итого по задаче 8</t>
  </si>
  <si>
    <t>Задача 9. Создание условий для развития гражданских, военно-патриотических качеств обучающихся</t>
  </si>
  <si>
    <t xml:space="preserve">Организация и проведение соревнований, сборов гражданско-патриотической, военно-патриотической направленности, организация и проведение мероприятий в рамках  месячника оборонно-массовой и спортивной работы </t>
  </si>
  <si>
    <t>Итого по задаче 9</t>
  </si>
  <si>
    <t>Задача 10. Поддержка системы воспитания и обучения детей, посещающих образовательные учреждения, реализующие образовательную программу дошкольного образования</t>
  </si>
  <si>
    <t>Материальная поддержка воспитания и обучения детей, посещающих образовательные учреждения, реализующие образовательную программу дошкольного образования</t>
  </si>
  <si>
    <t>Итого по задаче 10</t>
  </si>
  <si>
    <t>Итого по подпрограмме I</t>
  </si>
  <si>
    <t>Подпрограмма II «Создание механизмов обеспечения высокого качества образования, развитие  информационной прозрачности системы образования»</t>
  </si>
  <si>
    <t>Задача 11. Развитие муниципальной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</t>
  </si>
  <si>
    <t>11.1.</t>
  </si>
  <si>
    <t>Развитие системы оценки качества образования</t>
  </si>
  <si>
    <t>11.1.1.</t>
  </si>
  <si>
    <t>Организация и проведение репетиционных экзаменов</t>
  </si>
  <si>
    <t>11.1.2.</t>
  </si>
  <si>
    <t>Организация и проведение единого государственного экзамена</t>
  </si>
  <si>
    <t>11.1.3.</t>
  </si>
  <si>
    <t>Развитие и поддержка системного взаимодействия вузов округа и области с  городской системой образования</t>
  </si>
  <si>
    <t>11.2.</t>
  </si>
  <si>
    <t>Экспертно-аналитическое сопровождение. Научно-методическое сопровождение программы (эксперты, соц.исследования, мониторинговые исследования качества образования)</t>
  </si>
  <si>
    <t>11.3.</t>
  </si>
  <si>
    <t xml:space="preserve">Организационно-методическое сопровождение. Проведение  совещаний, конференций, семинаров    </t>
  </si>
  <si>
    <t>11.4.</t>
  </si>
  <si>
    <t xml:space="preserve">Развитие механизмов обеспечения открытости системы образования, информационное сопровождение </t>
  </si>
  <si>
    <t>11.4.1.</t>
  </si>
  <si>
    <t>Проведение городского конкурса «Лучший сайт образовательного учреждения»</t>
  </si>
  <si>
    <t>11.4.2.</t>
  </si>
  <si>
    <t>Издание сборника по итогам городских конкурсов профессионального мастерства</t>
  </si>
  <si>
    <t>Итого по задаче 11</t>
  </si>
  <si>
    <t>Итого по подпрограмме II</t>
  </si>
  <si>
    <t>Подпрограмма III «Организация  деятельности в системе образования на территории города Ханты-Мансийска»</t>
  </si>
  <si>
    <t>Задача 12. Повышение качества управления в системе образования</t>
  </si>
  <si>
    <t>12.1.</t>
  </si>
  <si>
    <t>Обеспечение деятельности Департамента (текущее содержание аппарата управления)</t>
  </si>
  <si>
    <t>12.2.</t>
  </si>
  <si>
    <t>Обеспечение деятельности подведомственных казенных учреждений</t>
  </si>
  <si>
    <t>12.3.</t>
  </si>
  <si>
    <t>12.4.</t>
  </si>
  <si>
    <t>12.4.1.</t>
  </si>
  <si>
    <t>12.5.</t>
  </si>
  <si>
    <t>12.5.1.</t>
  </si>
  <si>
    <t>12.6.</t>
  </si>
  <si>
    <t>Обеспечение реализации основных общеобразовательных программ в общеобразовательных учреждениях, расположенных на территории города Ханты-Мансийска, в том числе:</t>
  </si>
  <si>
    <t>12.6.1.</t>
  </si>
  <si>
    <t>Реализация основных общеобразовательных программ, в том числе:</t>
  </si>
  <si>
    <t>12.6.2.</t>
  </si>
  <si>
    <t>12.6.3.</t>
  </si>
  <si>
    <t>Перевозка обучающихся общеобразовательных учреждений автобусами «Школьник»</t>
  </si>
  <si>
    <t>12.7.</t>
  </si>
  <si>
    <t>12.7.1.</t>
  </si>
  <si>
    <t>12.7.2.</t>
  </si>
  <si>
    <t>Обеспечение прав детей-инвалидов на воспитание, обучение и образование</t>
  </si>
  <si>
    <t>12.7.3.</t>
  </si>
  <si>
    <t>Итого по задаче 12</t>
  </si>
  <si>
    <t>Итого по подпрограмме III</t>
  </si>
  <si>
    <t>Всего по муниципальной программе</t>
  </si>
  <si>
    <t>в том числе:</t>
  </si>
  <si>
    <t>Городской конкурс "Родитель года"</t>
  </si>
  <si>
    <t>Участие обучающихся 9-11 классов в региональном этапе всероссийской олимпиады школьников по предметам</t>
  </si>
  <si>
    <t>Окружной конкурс "Учитель года"</t>
  </si>
  <si>
    <t xml:space="preserve">Организация и проведение городского фестиваля творчества среди детей с ограниченными возможностями здоровья «Я радость нахожу в друзьях» </t>
  </si>
  <si>
    <t>Всего:</t>
  </si>
  <si>
    <t>7.3.1.</t>
  </si>
  <si>
    <t>Приобретение объекта капитального строительства дошкольного и общего образования с рассрочкой платежа</t>
  </si>
  <si>
    <t>Укомплектование немонтируемым оборудованием, прочим инвентарем и материалами вновь вводимых объектов</t>
  </si>
  <si>
    <t>Комплектование вариативных групп дошкольного образования, групп присмотра и ухода  современным компьютерным и прочим оборудованием, учебно-методическими комплектами, немонтируемым оборудованием, прочим инвентарем.</t>
  </si>
  <si>
    <t>Приобретение компьютерных классов, электронных учебников, компьтерного оборудования для образовательных учреждений.</t>
  </si>
  <si>
    <t>6.2.1.</t>
  </si>
  <si>
    <t>Департамент муниципальной собственности Администрации города Ханты-Мансийска, МКУ "Дирекция по содержанию имущества  казны"</t>
  </si>
  <si>
    <t>Бюджетные инвестиции в форме капитальных вложений в объекты  муниципальной собственности города Ханты-Мансийска. Приобретение объекта капитального строительства: Детский сад в районе СУ-967 на 140 мест в г.Ханты-Мансийске</t>
  </si>
  <si>
    <t>2017 год</t>
  </si>
  <si>
    <t>2018 год</t>
  </si>
  <si>
    <t>2019 год</t>
  </si>
  <si>
    <t>2020 год</t>
  </si>
  <si>
    <t>на 2014-2020 годы»</t>
  </si>
  <si>
    <t>Организация отдыха  детей в каникулярное время</t>
  </si>
  <si>
    <t>Обеспечение реализации основной общеобразовательной программы дошкольного образования в дошкольных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организациях, в том числе:</t>
  </si>
  <si>
    <t>Обеспечение реализации основных общеобразовательных программ на уровнях начального общего, основного общего, среднего общего образования в общеобразовательных организациях,   в том числе:</t>
  </si>
  <si>
    <t>Обеспечение реализации дополнительных общеобразовательных программ дополнительного образования в организациях дополнительного образования, в том числе:</t>
  </si>
  <si>
    <t>Ежемесячное денежное вознаграждение за классное руководство, в том числе:</t>
  </si>
  <si>
    <t>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обедов, в том числе:</t>
  </si>
  <si>
    <t>Обеспечение реализации дошкольными образовательными организациями основных общеобразовательных программ дошкольного образования, расположенных на территории города Ханты-Мансийска, в том числе:</t>
  </si>
  <si>
    <t>Реализация дошкольными образовательными организациями основных общеобразовательных программ дошкольного образования</t>
  </si>
  <si>
    <t>Выплаты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</si>
  <si>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Реализация дополнительных общеобразовательных программ дополнительного образования в организациях дополнительного образования</t>
  </si>
  <si>
    <t>Обеспечение повышения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нацианальной стратегии действий в интересах детей на 2012-2017 годы" в рамках подпрограммы "Поддержание устойчевого исполнения бюджетов муниципальных образованийавтономного округа" государственной программы "Создание условий для эффективного и ответственного управления муниципальными финансами, повышение устойчивости местных бюджетов Ханты-Мансийского автономного округа - Югры на 2014-2020 годы"</t>
  </si>
  <si>
    <t>10.1.</t>
  </si>
  <si>
    <t>Возмещение затрат частным дошкольным образовательным организациям, осуществляющих образовательную деятельность по реализации основных общеобразовательных программ дошкольного образования, расположенных на территории города Ханты-Мансийска</t>
  </si>
  <si>
    <t>весго:</t>
  </si>
  <si>
    <t>12.7.1.1.</t>
  </si>
  <si>
    <t>12.7.2.1.</t>
  </si>
  <si>
    <t>12.7.3.1.</t>
  </si>
  <si>
    <t>12.7.4.</t>
  </si>
  <si>
    <t>12.8.</t>
  </si>
  <si>
    <t>12.8.1.</t>
  </si>
  <si>
    <t>12.8.2.</t>
  </si>
  <si>
    <t>12.8.3.</t>
  </si>
  <si>
    <t>Обеспечение деятельности подведомственных автономных учреждений</t>
  </si>
  <si>
    <t>к постановлению Администрации</t>
  </si>
  <si>
    <t>города Ханты-Мансийска</t>
  </si>
  <si>
    <t>от ___________ №  ____</t>
  </si>
  <si>
    <t>"</t>
  </si>
  <si>
    <t>".</t>
  </si>
  <si>
    <t>10.2.</t>
  </si>
  <si>
    <t>ЦРО+ЦДиК 02.07.12. фкр0709</t>
  </si>
  <si>
    <t>02.07.20.</t>
  </si>
  <si>
    <t>06.07.10.</t>
  </si>
  <si>
    <t>06.07.13.</t>
  </si>
  <si>
    <t>06.07.11.</t>
  </si>
  <si>
    <t>06.07.01-05</t>
  </si>
  <si>
    <t>04.71.01.</t>
  </si>
  <si>
    <t>06.07.12.</t>
  </si>
  <si>
    <t xml:space="preserve">02.07.12-14 (ФКР 0701) </t>
  </si>
  <si>
    <t>01.04.07.</t>
  </si>
  <si>
    <t>06.07.09.</t>
  </si>
  <si>
    <t>06.06.02.</t>
  </si>
  <si>
    <t>04.07.01.</t>
  </si>
  <si>
    <t>02.07.23.</t>
  </si>
  <si>
    <t>02.07.25.</t>
  </si>
  <si>
    <t>02.07.24.</t>
  </si>
  <si>
    <t>02.07.02.</t>
  </si>
  <si>
    <t>08.02.13.</t>
  </si>
  <si>
    <t>08.02.11.</t>
  </si>
  <si>
    <t>08.02.06.+08.02.04.+08.02.05.+08.02.09.</t>
  </si>
  <si>
    <t>08.02.15.</t>
  </si>
  <si>
    <t>02.07.03.+02.07.08.</t>
  </si>
  <si>
    <t>бюдет автономного округа</t>
  </si>
  <si>
    <t>08.02.16.</t>
  </si>
  <si>
    <t>02.07.13. онив третьей подпрограмме 6000</t>
  </si>
  <si>
    <t>04.10.01+04.09.01</t>
  </si>
  <si>
    <t>11.02.01.</t>
  </si>
  <si>
    <t>02.07.15.+02.07.19.+02.07.21.</t>
  </si>
  <si>
    <t>02.07.11.</t>
  </si>
  <si>
    <t>02.07.10.+02.07.27.+02.07.29.</t>
  </si>
  <si>
    <t>9.1.</t>
  </si>
  <si>
    <t>9.2.</t>
  </si>
  <si>
    <t>Допризывная подготовка молодежи</t>
  </si>
  <si>
    <t>Создание новых групп в функционирующих образовательных учреждениях за счет эффективного использования помещений</t>
  </si>
  <si>
    <t xml:space="preserve">Приложение </t>
  </si>
  <si>
    <t>Итого по подпрограмме IV</t>
  </si>
  <si>
    <t>АУП</t>
  </si>
  <si>
    <t>МКУ, ЦДиК, ЦРО</t>
  </si>
  <si>
    <t>Автономные</t>
  </si>
  <si>
    <t>Допы</t>
  </si>
  <si>
    <t>кл.рук</t>
  </si>
  <si>
    <t>сады (зар.плата)</t>
  </si>
  <si>
    <t>МБУ "КДЦ Октябрь"</t>
  </si>
  <si>
    <t>Подпрограмма I «Общее образование. Дополнительное образование детей»</t>
  </si>
  <si>
    <t>1.</t>
  </si>
  <si>
    <t>2.</t>
  </si>
  <si>
    <t>3.</t>
  </si>
  <si>
    <t xml:space="preserve">Подпрограмма II. Система оценки качества образования и информационная прозрачность системы образования </t>
  </si>
  <si>
    <t>Подпрограмма Ш. Молодежь города Ханты-Мансийска и допризывная подготовка.</t>
  </si>
  <si>
    <t>Всего</t>
  </si>
  <si>
    <t>4.</t>
  </si>
  <si>
    <t xml:space="preserve"> Администрация города Ханты-Мансийска</t>
  </si>
  <si>
    <t>Перечень основных мероприятий</t>
  </si>
  <si>
    <t>(в  рублях)</t>
  </si>
  <si>
    <t>Депатамент градостроительства и архитектуры Администрации города Ханты-Мансийска</t>
  </si>
  <si>
    <t>Подпрограмма IV. "Ресурсное обеспечение системы образования"</t>
  </si>
  <si>
    <t>Основные мероприятия Программы                     (связь мероприятий с показателями муниципальной программы)</t>
  </si>
  <si>
    <t>Развитие системы дошкольного и общего образования                                          (Показатели 1.1-1.15)</t>
  </si>
  <si>
    <t>Развитие муниципальной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                                                                (Показатели 2.1.; 2.2.)</t>
  </si>
  <si>
    <t>Развитие системы дополнительного образования детей.Организация летнего отдыха и оздоровления.         (Показатели 1.1-1.15)</t>
  </si>
  <si>
    <t>Обеспечение реализации основных общеобразовательных программ в образовательных организациях, расположенных на территории города Ханты-Мансийска  (Показатели 1.1-1.15)</t>
  </si>
  <si>
    <t>Поддержка детских и молодежных общественных организаций и объединений                                                  (Показатель3.1.)</t>
  </si>
  <si>
    <t>Создание условий для развития гражданско-, военно-патриотических качеств молодежи                                 (Показатель 3.2.)</t>
  </si>
  <si>
    <t>Социализация детей и молодых людей, оказавшихся в трудной жизненной ситуации. Профилактика детского дорожно-транспортного травматизма                  (Показатель3.3.)</t>
  </si>
  <si>
    <t>Обеспечение функций управления и контроля в сфере образования            (Показатели  4.1-4.3)</t>
  </si>
  <si>
    <t>Финансовое обеспечение полномочий органов местного самоуправления города Ханты-Мансийска                                               (Показатели  4.1-4.3)</t>
  </si>
  <si>
    <t>Обеспечение комплексной безопасности образовательных учреждений                                                 (Показатели  4.1-4.3)</t>
  </si>
  <si>
    <t>Развитие материально-технической базы образовательных учреждений                                                   (Показатели  4.1-4.3)</t>
  </si>
  <si>
    <t xml:space="preserve">Основные мероприятия НОВОЙ Программы                     </t>
  </si>
  <si>
    <t>Основные мероприятия СТАРОЙ программы</t>
  </si>
  <si>
    <t xml:space="preserve">Задача 1 (за исключением п 1.4.6., 1.4.7., 1.5.1.), Задача 3, п 10.2., </t>
  </si>
  <si>
    <t xml:space="preserve">Задача 2 </t>
  </si>
  <si>
    <t>Сопостовление мероприятий СТАРОЙ и НОВОЙ редакции программы</t>
  </si>
  <si>
    <t>Задача 11</t>
  </si>
  <si>
    <t>Задача 8</t>
  </si>
  <si>
    <t>Задача 9 + п 1.4.7</t>
  </si>
  <si>
    <t>Пункты 1.5.1 + 1.4.6.</t>
  </si>
  <si>
    <t>П. 12.1.</t>
  </si>
  <si>
    <t>Пункты 12.2.+12.3.+10.1.</t>
  </si>
  <si>
    <t>Задач 6</t>
  </si>
  <si>
    <t xml:space="preserve"> Задач 7 + Задача 4 (заисключением п 4.4.)</t>
  </si>
  <si>
    <t>Задача 12 (за исключением пунктов 12.1., 12.2., 12.3.) + пункт 4.4.</t>
  </si>
  <si>
    <t>Департамент образования Администрации города Ханты-Мансийска, Департамент муниципальной собственности Администрации города Ханты-Мансийска</t>
  </si>
  <si>
    <t>Департамент образования Администрации города Ханты-Мансийска, Департамент городского хозяйства Администрации города Ханты-Мансийска, Депатамент градостроительства и архитектуры Администрации города Ханты-Мансийска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</si>
</sst>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22">
    <xf numFmtId="0" fontId="0" fillId="0" borderId="0" xfId="0"/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2" fillId="0" borderId="0" xfId="0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5" fillId="3" borderId="0" xfId="0" applyFont="1" applyFill="1" applyBorder="1" applyAlignment="1">
      <alignment horizontal="center" vertical="center" wrapText="1"/>
    </xf>
    <xf numFmtId="0" fontId="7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4" borderId="0" xfId="0" applyFont="1" applyFill="1"/>
    <xf numFmtId="3" fontId="1" fillId="0" borderId="41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164" fontId="1" fillId="4" borderId="0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9" fontId="2" fillId="3" borderId="0" xfId="0" applyNumberFormat="1" applyFont="1" applyFill="1"/>
    <xf numFmtId="0" fontId="1" fillId="3" borderId="1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 vertical="center"/>
    </xf>
    <xf numFmtId="10" fontId="2" fillId="3" borderId="0" xfId="0" applyNumberFormat="1" applyFont="1" applyFill="1"/>
    <xf numFmtId="4" fontId="1" fillId="3" borderId="0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/>
    <xf numFmtId="49" fontId="2" fillId="3" borderId="0" xfId="0" applyNumberFormat="1" applyFont="1" applyFill="1"/>
    <xf numFmtId="4" fontId="2" fillId="3" borderId="0" xfId="0" applyNumberFormat="1" applyFont="1" applyFill="1"/>
    <xf numFmtId="0" fontId="4" fillId="3" borderId="2" xfId="0" applyFont="1" applyFill="1" applyBorder="1" applyAlignment="1">
      <alignment horizontal="center" vertical="center" wrapText="1"/>
    </xf>
    <xf numFmtId="14" fontId="2" fillId="3" borderId="0" xfId="0" applyNumberFormat="1" applyFont="1" applyFill="1"/>
    <xf numFmtId="0" fontId="1" fillId="3" borderId="18" xfId="0" applyFont="1" applyFill="1" applyBorder="1" applyAlignment="1">
      <alignment vertical="center" wrapText="1"/>
    </xf>
    <xf numFmtId="164" fontId="1" fillId="3" borderId="30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4" fontId="1" fillId="3" borderId="32" xfId="0" applyNumberFormat="1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25" xfId="0" applyNumberFormat="1" applyFont="1" applyFill="1" applyBorder="1" applyAlignment="1">
      <alignment horizontal="center" vertical="center" wrapText="1"/>
    </xf>
    <xf numFmtId="164" fontId="1" fillId="3" borderId="34" xfId="0" applyNumberFormat="1" applyFont="1" applyFill="1" applyBorder="1" applyAlignment="1">
      <alignment horizontal="center" vertical="center" wrapText="1"/>
    </xf>
    <xf numFmtId="164" fontId="1" fillId="3" borderId="36" xfId="0" applyNumberFormat="1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/>
    <xf numFmtId="164" fontId="6" fillId="3" borderId="18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" fontId="2" fillId="3" borderId="0" xfId="0" applyNumberFormat="1" applyFont="1" applyFill="1"/>
    <xf numFmtId="165" fontId="2" fillId="3" borderId="0" xfId="0" applyNumberFormat="1" applyFont="1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5" fillId="0" borderId="41" xfId="1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9" fontId="1" fillId="0" borderId="0" xfId="0" applyNumberFormat="1" applyFont="1" applyFill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0" fontId="10" fillId="0" borderId="4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wrapText="1"/>
    </xf>
    <xf numFmtId="4" fontId="5" fillId="3" borderId="0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0" fontId="1" fillId="3" borderId="1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164" fontId="1" fillId="3" borderId="21" xfId="0" applyNumberFormat="1" applyFont="1" applyFill="1" applyBorder="1" applyAlignment="1">
      <alignment horizontal="center" vertical="center" wrapText="1"/>
    </xf>
    <xf numFmtId="164" fontId="1" fillId="3" borderId="23" xfId="0" applyNumberFormat="1" applyFont="1" applyFill="1" applyBorder="1" applyAlignment="1">
      <alignment horizontal="center" vertical="center" wrapText="1"/>
    </xf>
    <xf numFmtId="164" fontId="1" fillId="3" borderId="33" xfId="0" applyNumberFormat="1" applyFont="1" applyFill="1" applyBorder="1" applyAlignment="1">
      <alignment horizontal="center" vertical="center" wrapText="1"/>
    </xf>
    <xf numFmtId="164" fontId="1" fillId="3" borderId="24" xfId="0" applyNumberFormat="1" applyFont="1" applyFill="1" applyBorder="1" applyAlignment="1">
      <alignment horizontal="center" vertical="center" wrapText="1"/>
    </xf>
    <xf numFmtId="164" fontId="1" fillId="3" borderId="25" xfId="0" applyNumberFormat="1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64" fontId="1" fillId="3" borderId="22" xfId="0" applyNumberFormat="1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4" fontId="0" fillId="0" borderId="44" xfId="0" applyNumberFormat="1" applyFill="1" applyBorder="1" applyAlignment="1">
      <alignment horizontal="center" vertical="center"/>
    </xf>
    <xf numFmtId="4" fontId="0" fillId="0" borderId="42" xfId="0" applyNumberForma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164" fontId="1" fillId="0" borderId="43" xfId="0" applyNumberFormat="1" applyFont="1" applyFill="1" applyBorder="1" applyAlignment="1">
      <alignment horizontal="center" vertical="center" wrapText="1"/>
    </xf>
    <xf numFmtId="164" fontId="1" fillId="0" borderId="44" xfId="0" applyNumberFormat="1" applyFont="1" applyFill="1" applyBorder="1" applyAlignment="1">
      <alignment horizontal="center" vertical="center" wrapText="1"/>
    </xf>
    <xf numFmtId="164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99FF"/>
      <color rgb="FFCCFF99"/>
      <color rgb="FF66FF99"/>
      <color rgb="FF66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0"/>
  <sheetViews>
    <sheetView view="pageBreakPreview" topLeftCell="A158" zoomScale="70" zoomScaleNormal="70" zoomScaleSheetLayoutView="70" workbookViewId="0">
      <selection activeCell="H140" sqref="H140"/>
    </sheetView>
  </sheetViews>
  <sheetFormatPr defaultRowHeight="15" x14ac:dyDescent="0.25"/>
  <cols>
    <col min="1" max="1" width="8.140625" style="16" customWidth="1"/>
    <col min="2" max="2" width="37.28515625" style="16" customWidth="1"/>
    <col min="3" max="3" width="29.140625" style="16" customWidth="1"/>
    <col min="4" max="4" width="26.140625" style="16" customWidth="1"/>
    <col min="5" max="5" width="17" style="16" customWidth="1"/>
    <col min="6" max="6" width="15.28515625" style="65" customWidth="1"/>
    <col min="7" max="7" width="16" style="65" customWidth="1"/>
    <col min="8" max="12" width="16.140625" style="65" customWidth="1"/>
    <col min="13" max="13" width="15" style="65" customWidth="1"/>
    <col min="14" max="14" width="15.7109375" style="16" customWidth="1"/>
    <col min="15" max="15" width="13" style="16" bestFit="1" customWidth="1"/>
    <col min="16" max="17" width="12.28515625" style="16" bestFit="1" customWidth="1"/>
    <col min="18" max="16384" width="9.140625" style="16"/>
  </cols>
  <sheetData>
    <row r="1" spans="1:13" x14ac:dyDescent="0.25">
      <c r="A1" s="178" t="s">
        <v>342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x14ac:dyDescent="0.25">
      <c r="A2" s="178" t="s">
        <v>302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x14ac:dyDescent="0.25">
      <c r="A3" s="178" t="s">
        <v>303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x14ac:dyDescent="0.25">
      <c r="A4" s="178" t="s">
        <v>304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x14ac:dyDescent="0.25">
      <c r="A5" s="117" t="s">
        <v>305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x14ac:dyDescent="0.25">
      <c r="A6" s="118" t="s">
        <v>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x14ac:dyDescent="0.25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x14ac:dyDescent="0.25">
      <c r="A8" s="118" t="s">
        <v>278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3" x14ac:dyDescent="0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3" x14ac:dyDescent="0.2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13" ht="15.75" thickBot="1" x14ac:dyDescent="0.3">
      <c r="A11" s="120" t="s">
        <v>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42.75" customHeight="1" x14ac:dyDescent="0.25">
      <c r="A12" s="100" t="s">
        <v>3</v>
      </c>
      <c r="B12" s="100" t="s">
        <v>4</v>
      </c>
      <c r="C12" s="100" t="s">
        <v>5</v>
      </c>
      <c r="D12" s="100" t="s">
        <v>6</v>
      </c>
      <c r="E12" s="100" t="s">
        <v>7</v>
      </c>
      <c r="F12" s="121" t="s">
        <v>8</v>
      </c>
      <c r="G12" s="122"/>
      <c r="H12" s="122"/>
      <c r="I12" s="122"/>
      <c r="J12" s="122"/>
      <c r="K12" s="122"/>
      <c r="L12" s="122"/>
      <c r="M12" s="123"/>
    </row>
    <row r="13" spans="1:13" ht="19.5" customHeight="1" thickBot="1" x14ac:dyDescent="0.3">
      <c r="A13" s="101"/>
      <c r="B13" s="101"/>
      <c r="C13" s="101"/>
      <c r="D13" s="101"/>
      <c r="E13" s="101"/>
      <c r="F13" s="124" t="s">
        <v>9</v>
      </c>
      <c r="G13" s="125"/>
      <c r="H13" s="125"/>
      <c r="I13" s="125"/>
      <c r="J13" s="125"/>
      <c r="K13" s="125"/>
      <c r="L13" s="125"/>
      <c r="M13" s="126"/>
    </row>
    <row r="14" spans="1:13" ht="15.75" thickBot="1" x14ac:dyDescent="0.3">
      <c r="A14" s="101"/>
      <c r="B14" s="101"/>
      <c r="C14" s="101"/>
      <c r="D14" s="101"/>
      <c r="E14" s="101"/>
      <c r="F14" s="106" t="s">
        <v>10</v>
      </c>
      <c r="G14" s="127" t="s">
        <v>11</v>
      </c>
      <c r="H14" s="128"/>
      <c r="I14" s="128"/>
      <c r="J14" s="128"/>
      <c r="K14" s="128"/>
      <c r="L14" s="128"/>
      <c r="M14" s="129"/>
    </row>
    <row r="15" spans="1:13" ht="15.75" thickBot="1" x14ac:dyDescent="0.3">
      <c r="A15" s="102"/>
      <c r="B15" s="102"/>
      <c r="C15" s="102"/>
      <c r="D15" s="102"/>
      <c r="E15" s="102"/>
      <c r="F15" s="107"/>
      <c r="G15" s="29" t="s">
        <v>12</v>
      </c>
      <c r="H15" s="29" t="s">
        <v>13</v>
      </c>
      <c r="I15" s="29" t="s">
        <v>14</v>
      </c>
      <c r="J15" s="29" t="s">
        <v>274</v>
      </c>
      <c r="K15" s="29" t="s">
        <v>275</v>
      </c>
      <c r="L15" s="29" t="s">
        <v>276</v>
      </c>
      <c r="M15" s="29" t="s">
        <v>277</v>
      </c>
    </row>
    <row r="16" spans="1:13" ht="15.75" thickBot="1" x14ac:dyDescent="0.3">
      <c r="A16" s="30">
        <v>1</v>
      </c>
      <c r="B16" s="31">
        <v>2</v>
      </c>
      <c r="C16" s="31">
        <v>3</v>
      </c>
      <c r="D16" s="31">
        <v>4</v>
      </c>
      <c r="E16" s="31">
        <v>5</v>
      </c>
      <c r="F16" s="32">
        <v>6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>
        <v>12</v>
      </c>
      <c r="M16" s="32">
        <v>13</v>
      </c>
    </row>
    <row r="17" spans="1:14" ht="38.25" customHeight="1" thickBot="1" x14ac:dyDescent="0.3">
      <c r="A17" s="103" t="s">
        <v>15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</row>
    <row r="18" spans="1:14" ht="15.75" thickBot="1" x14ac:dyDescent="0.3">
      <c r="A18" s="103" t="s">
        <v>16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</row>
    <row r="19" spans="1:14" ht="22.5" customHeight="1" thickBot="1" x14ac:dyDescent="0.3">
      <c r="A19" s="103" t="s">
        <v>17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5"/>
      <c r="N19" s="16" t="s">
        <v>324</v>
      </c>
    </row>
    <row r="20" spans="1:14" ht="69" customHeight="1" thickBot="1" x14ac:dyDescent="0.3">
      <c r="A20" s="30" t="s">
        <v>18</v>
      </c>
      <c r="B20" s="31" t="s">
        <v>19</v>
      </c>
      <c r="C20" s="31" t="s">
        <v>20</v>
      </c>
      <c r="D20" s="31" t="s">
        <v>20</v>
      </c>
      <c r="E20" s="31" t="s">
        <v>21</v>
      </c>
      <c r="F20" s="29">
        <f>SUM(G20:M20)</f>
        <v>2800</v>
      </c>
      <c r="G20" s="29">
        <f>G21</f>
        <v>400</v>
      </c>
      <c r="H20" s="29">
        <f t="shared" ref="H20" si="0">H21</f>
        <v>400</v>
      </c>
      <c r="I20" s="29">
        <f>I21</f>
        <v>400</v>
      </c>
      <c r="J20" s="29">
        <f>I20</f>
        <v>400</v>
      </c>
      <c r="K20" s="29">
        <f>J20</f>
        <v>400</v>
      </c>
      <c r="L20" s="29">
        <f t="shared" ref="L20:M20" si="1">K20</f>
        <v>400</v>
      </c>
      <c r="M20" s="29">
        <f t="shared" si="1"/>
        <v>400</v>
      </c>
      <c r="N20" s="33"/>
    </row>
    <row r="21" spans="1:14" ht="96" customHeight="1" thickBot="1" x14ac:dyDescent="0.3">
      <c r="A21" s="30" t="s">
        <v>22</v>
      </c>
      <c r="B21" s="31" t="s">
        <v>23</v>
      </c>
      <c r="C21" s="31" t="s">
        <v>20</v>
      </c>
      <c r="D21" s="31" t="s">
        <v>20</v>
      </c>
      <c r="E21" s="31" t="s">
        <v>21</v>
      </c>
      <c r="F21" s="29">
        <f t="shared" ref="F21:F68" si="2">SUM(G21:M21)</f>
        <v>2800</v>
      </c>
      <c r="G21" s="29">
        <v>400</v>
      </c>
      <c r="H21" s="29">
        <v>400</v>
      </c>
      <c r="I21" s="29">
        <v>400</v>
      </c>
      <c r="J21" s="29">
        <f t="shared" ref="J21:J65" si="3">I21</f>
        <v>400</v>
      </c>
      <c r="K21" s="29">
        <f t="shared" ref="K21:M65" si="4">J21</f>
        <v>400</v>
      </c>
      <c r="L21" s="29">
        <f t="shared" si="4"/>
        <v>400</v>
      </c>
      <c r="M21" s="29">
        <f t="shared" si="4"/>
        <v>400</v>
      </c>
    </row>
    <row r="22" spans="1:14" ht="61.5" customHeight="1" thickBot="1" x14ac:dyDescent="0.3">
      <c r="A22" s="30" t="s">
        <v>24</v>
      </c>
      <c r="B22" s="31" t="s">
        <v>25</v>
      </c>
      <c r="C22" s="31" t="s">
        <v>20</v>
      </c>
      <c r="D22" s="31" t="s">
        <v>20</v>
      </c>
      <c r="E22" s="31" t="s">
        <v>21</v>
      </c>
      <c r="F22" s="29">
        <f t="shared" si="2"/>
        <v>27580</v>
      </c>
      <c r="G22" s="29">
        <f t="shared" ref="G22:H22" si="5">G23+G24+G25</f>
        <v>3940</v>
      </c>
      <c r="H22" s="29">
        <f t="shared" si="5"/>
        <v>3940</v>
      </c>
      <c r="I22" s="29">
        <f>I23+I24+I25</f>
        <v>3940</v>
      </c>
      <c r="J22" s="29">
        <f t="shared" si="3"/>
        <v>3940</v>
      </c>
      <c r="K22" s="29">
        <f t="shared" si="4"/>
        <v>3940</v>
      </c>
      <c r="L22" s="29">
        <f t="shared" si="4"/>
        <v>3940</v>
      </c>
      <c r="M22" s="29">
        <f t="shared" si="4"/>
        <v>3940</v>
      </c>
    </row>
    <row r="23" spans="1:14" ht="61.5" customHeight="1" thickBot="1" x14ac:dyDescent="0.3">
      <c r="A23" s="30" t="s">
        <v>26</v>
      </c>
      <c r="B23" s="31" t="s">
        <v>27</v>
      </c>
      <c r="C23" s="31" t="s">
        <v>20</v>
      </c>
      <c r="D23" s="31" t="s">
        <v>20</v>
      </c>
      <c r="E23" s="31" t="s">
        <v>21</v>
      </c>
      <c r="F23" s="29">
        <f t="shared" si="2"/>
        <v>26600</v>
      </c>
      <c r="G23" s="29">
        <v>3800</v>
      </c>
      <c r="H23" s="29">
        <v>3800</v>
      </c>
      <c r="I23" s="29">
        <v>3800</v>
      </c>
      <c r="J23" s="29">
        <f t="shared" si="3"/>
        <v>3800</v>
      </c>
      <c r="K23" s="29">
        <f t="shared" si="4"/>
        <v>3800</v>
      </c>
      <c r="L23" s="29">
        <f t="shared" si="4"/>
        <v>3800</v>
      </c>
      <c r="M23" s="29">
        <f t="shared" si="4"/>
        <v>3800</v>
      </c>
    </row>
    <row r="24" spans="1:14" ht="88.5" customHeight="1" thickBot="1" x14ac:dyDescent="0.3">
      <c r="A24" s="30" t="s">
        <v>28</v>
      </c>
      <c r="B24" s="31" t="s">
        <v>29</v>
      </c>
      <c r="C24" s="31" t="s">
        <v>20</v>
      </c>
      <c r="D24" s="31" t="s">
        <v>20</v>
      </c>
      <c r="E24" s="31" t="s">
        <v>21</v>
      </c>
      <c r="F24" s="29">
        <f t="shared" si="2"/>
        <v>700</v>
      </c>
      <c r="G24" s="29">
        <v>100</v>
      </c>
      <c r="H24" s="29">
        <v>100</v>
      </c>
      <c r="I24" s="29">
        <v>100</v>
      </c>
      <c r="J24" s="29">
        <f t="shared" si="3"/>
        <v>100</v>
      </c>
      <c r="K24" s="29">
        <f t="shared" si="4"/>
        <v>100</v>
      </c>
      <c r="L24" s="29">
        <f t="shared" si="4"/>
        <v>100</v>
      </c>
      <c r="M24" s="29">
        <f t="shared" si="4"/>
        <v>100</v>
      </c>
    </row>
    <row r="25" spans="1:14" ht="99.75" customHeight="1" thickBot="1" x14ac:dyDescent="0.3">
      <c r="A25" s="30" t="s">
        <v>30</v>
      </c>
      <c r="B25" s="31" t="s">
        <v>31</v>
      </c>
      <c r="C25" s="31" t="s">
        <v>20</v>
      </c>
      <c r="D25" s="31" t="s">
        <v>20</v>
      </c>
      <c r="E25" s="31" t="s">
        <v>21</v>
      </c>
      <c r="F25" s="29">
        <f t="shared" si="2"/>
        <v>280</v>
      </c>
      <c r="G25" s="29">
        <v>40</v>
      </c>
      <c r="H25" s="29">
        <v>40</v>
      </c>
      <c r="I25" s="29">
        <v>40</v>
      </c>
      <c r="J25" s="29">
        <f t="shared" si="3"/>
        <v>40</v>
      </c>
      <c r="K25" s="29">
        <f t="shared" si="4"/>
        <v>40</v>
      </c>
      <c r="L25" s="29">
        <f t="shared" si="4"/>
        <v>40</v>
      </c>
      <c r="M25" s="29">
        <f t="shared" si="4"/>
        <v>40</v>
      </c>
    </row>
    <row r="26" spans="1:14" ht="61.5" customHeight="1" thickBot="1" x14ac:dyDescent="0.3">
      <c r="A26" s="30" t="s">
        <v>32</v>
      </c>
      <c r="B26" s="31" t="s">
        <v>33</v>
      </c>
      <c r="C26" s="31" t="s">
        <v>20</v>
      </c>
      <c r="D26" s="31" t="s">
        <v>20</v>
      </c>
      <c r="E26" s="31" t="s">
        <v>21</v>
      </c>
      <c r="F26" s="29">
        <f t="shared" si="2"/>
        <v>735</v>
      </c>
      <c r="G26" s="29">
        <f t="shared" ref="G26:H26" si="6">G27</f>
        <v>105</v>
      </c>
      <c r="H26" s="29">
        <f t="shared" si="6"/>
        <v>105</v>
      </c>
      <c r="I26" s="29">
        <v>105</v>
      </c>
      <c r="J26" s="29">
        <f t="shared" si="3"/>
        <v>105</v>
      </c>
      <c r="K26" s="29">
        <f t="shared" si="4"/>
        <v>105</v>
      </c>
      <c r="L26" s="29">
        <f t="shared" si="4"/>
        <v>105</v>
      </c>
      <c r="M26" s="29">
        <f t="shared" si="4"/>
        <v>105</v>
      </c>
    </row>
    <row r="27" spans="1:14" ht="69" customHeight="1" thickBot="1" x14ac:dyDescent="0.3">
      <c r="A27" s="30" t="s">
        <v>34</v>
      </c>
      <c r="B27" s="31" t="s">
        <v>35</v>
      </c>
      <c r="C27" s="31" t="s">
        <v>20</v>
      </c>
      <c r="D27" s="31" t="s">
        <v>20</v>
      </c>
      <c r="E27" s="31" t="s">
        <v>21</v>
      </c>
      <c r="F27" s="29">
        <f t="shared" si="2"/>
        <v>735</v>
      </c>
      <c r="G27" s="29">
        <v>105</v>
      </c>
      <c r="H27" s="29">
        <v>105</v>
      </c>
      <c r="I27" s="29">
        <v>105</v>
      </c>
      <c r="J27" s="29">
        <f t="shared" si="3"/>
        <v>105</v>
      </c>
      <c r="K27" s="29">
        <f>J27</f>
        <v>105</v>
      </c>
      <c r="L27" s="29">
        <f t="shared" si="4"/>
        <v>105</v>
      </c>
      <c r="M27" s="29">
        <f t="shared" si="4"/>
        <v>105</v>
      </c>
    </row>
    <row r="28" spans="1:14" ht="39" customHeight="1" thickBot="1" x14ac:dyDescent="0.3">
      <c r="A28" s="100" t="s">
        <v>36</v>
      </c>
      <c r="B28" s="100" t="s">
        <v>37</v>
      </c>
      <c r="C28" s="100" t="s">
        <v>20</v>
      </c>
      <c r="D28" s="100" t="s">
        <v>20</v>
      </c>
      <c r="E28" s="31" t="s">
        <v>89</v>
      </c>
      <c r="F28" s="29">
        <f t="shared" si="2"/>
        <v>19714.070000000003</v>
      </c>
      <c r="G28" s="29">
        <f t="shared" ref="G28:M28" si="7">G29+G30</f>
        <v>3746.87</v>
      </c>
      <c r="H28" s="29">
        <f t="shared" si="7"/>
        <v>2661.2</v>
      </c>
      <c r="I28" s="29">
        <f t="shared" si="7"/>
        <v>2661.2</v>
      </c>
      <c r="J28" s="29">
        <f t="shared" si="7"/>
        <v>2661.2</v>
      </c>
      <c r="K28" s="29">
        <f t="shared" si="7"/>
        <v>2661.2</v>
      </c>
      <c r="L28" s="29">
        <f t="shared" si="7"/>
        <v>2661.2</v>
      </c>
      <c r="M28" s="29">
        <f t="shared" si="7"/>
        <v>2661.2</v>
      </c>
    </row>
    <row r="29" spans="1:14" ht="42" customHeight="1" thickBot="1" x14ac:dyDescent="0.3">
      <c r="A29" s="101"/>
      <c r="B29" s="101"/>
      <c r="C29" s="101"/>
      <c r="D29" s="101"/>
      <c r="E29" s="31" t="s">
        <v>21</v>
      </c>
      <c r="F29" s="29">
        <f t="shared" si="2"/>
        <v>18628.400000000001</v>
      </c>
      <c r="G29" s="29">
        <f>G31+G32+G35+G37+G39+G40+G41+G42+G43+G44+G45+G46+G48+G51+G52+G53+G56+G57+G58+G59</f>
        <v>2661.2</v>
      </c>
      <c r="H29" s="29">
        <f t="shared" ref="H29:M29" si="8">H31+H32+H35+H37+H39+H40+H41+H42+H43+H44+H45+H46+H48+H51+H52+H53+H56+H57+H58+H59</f>
        <v>2661.2</v>
      </c>
      <c r="I29" s="29">
        <f t="shared" si="8"/>
        <v>2661.2</v>
      </c>
      <c r="J29" s="29">
        <f t="shared" si="8"/>
        <v>2661.2</v>
      </c>
      <c r="K29" s="29">
        <f t="shared" si="8"/>
        <v>2661.2</v>
      </c>
      <c r="L29" s="29">
        <f t="shared" si="8"/>
        <v>2661.2</v>
      </c>
      <c r="M29" s="29">
        <f t="shared" si="8"/>
        <v>2661.2</v>
      </c>
    </row>
    <row r="30" spans="1:14" ht="69.75" customHeight="1" thickBot="1" x14ac:dyDescent="0.3">
      <c r="A30" s="102"/>
      <c r="B30" s="102"/>
      <c r="C30" s="102"/>
      <c r="D30" s="102"/>
      <c r="E30" s="31" t="s">
        <v>93</v>
      </c>
      <c r="F30" s="29">
        <f t="shared" si="2"/>
        <v>1085.67</v>
      </c>
      <c r="G30" s="29">
        <f>G50+G38+G55+G34</f>
        <v>1085.67</v>
      </c>
      <c r="H30" s="29">
        <f t="shared" ref="H30:M30" si="9">H50+H38+H55+H34</f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</row>
    <row r="31" spans="1:14" ht="81.75" customHeight="1" thickBot="1" x14ac:dyDescent="0.3">
      <c r="A31" s="30" t="s">
        <v>38</v>
      </c>
      <c r="B31" s="31" t="s">
        <v>39</v>
      </c>
      <c r="C31" s="31" t="s">
        <v>20</v>
      </c>
      <c r="D31" s="31" t="s">
        <v>20</v>
      </c>
      <c r="E31" s="31" t="s">
        <v>21</v>
      </c>
      <c r="F31" s="29">
        <f t="shared" si="2"/>
        <v>1597.4</v>
      </c>
      <c r="G31" s="29">
        <v>228.2</v>
      </c>
      <c r="H31" s="29">
        <v>228.2</v>
      </c>
      <c r="I31" s="29">
        <v>228.2</v>
      </c>
      <c r="J31" s="29">
        <f t="shared" si="3"/>
        <v>228.2</v>
      </c>
      <c r="K31" s="29">
        <f t="shared" si="4"/>
        <v>228.2</v>
      </c>
      <c r="L31" s="29">
        <f t="shared" si="4"/>
        <v>228.2</v>
      </c>
      <c r="M31" s="29">
        <f t="shared" si="4"/>
        <v>228.2</v>
      </c>
    </row>
    <row r="32" spans="1:14" ht="81" customHeight="1" thickBot="1" x14ac:dyDescent="0.3">
      <c r="A32" s="30" t="s">
        <v>40</v>
      </c>
      <c r="B32" s="31" t="s">
        <v>41</v>
      </c>
      <c r="C32" s="31" t="s">
        <v>20</v>
      </c>
      <c r="D32" s="31" t="s">
        <v>20</v>
      </c>
      <c r="E32" s="31" t="s">
        <v>21</v>
      </c>
      <c r="F32" s="29">
        <f t="shared" si="2"/>
        <v>280</v>
      </c>
      <c r="G32" s="29">
        <v>40</v>
      </c>
      <c r="H32" s="29">
        <v>40</v>
      </c>
      <c r="I32" s="29">
        <v>40</v>
      </c>
      <c r="J32" s="29">
        <f t="shared" si="3"/>
        <v>40</v>
      </c>
      <c r="K32" s="29">
        <f t="shared" si="4"/>
        <v>40</v>
      </c>
      <c r="L32" s="29">
        <f t="shared" si="4"/>
        <v>40</v>
      </c>
      <c r="M32" s="29">
        <f t="shared" si="4"/>
        <v>40</v>
      </c>
    </row>
    <row r="33" spans="1:14" ht="30.75" customHeight="1" thickBot="1" x14ac:dyDescent="0.3">
      <c r="A33" s="100" t="s">
        <v>42</v>
      </c>
      <c r="B33" s="100" t="s">
        <v>43</v>
      </c>
      <c r="C33" s="100" t="s">
        <v>20</v>
      </c>
      <c r="D33" s="100" t="s">
        <v>20</v>
      </c>
      <c r="E33" s="31" t="s">
        <v>292</v>
      </c>
      <c r="F33" s="29">
        <f>F34+F35</f>
        <v>2035.8000000000002</v>
      </c>
      <c r="G33" s="29">
        <f t="shared" ref="G33:M33" si="10">G34+G35</f>
        <v>719.4</v>
      </c>
      <c r="H33" s="29">
        <f t="shared" si="10"/>
        <v>219.4</v>
      </c>
      <c r="I33" s="29">
        <f t="shared" si="10"/>
        <v>219.4</v>
      </c>
      <c r="J33" s="29">
        <f t="shared" si="10"/>
        <v>219.4</v>
      </c>
      <c r="K33" s="29">
        <f t="shared" si="10"/>
        <v>219.4</v>
      </c>
      <c r="L33" s="29">
        <f t="shared" si="10"/>
        <v>219.4</v>
      </c>
      <c r="M33" s="29">
        <f t="shared" si="10"/>
        <v>219.4</v>
      </c>
    </row>
    <row r="34" spans="1:14" ht="48" customHeight="1" thickBot="1" x14ac:dyDescent="0.3">
      <c r="A34" s="101"/>
      <c r="B34" s="101"/>
      <c r="C34" s="101"/>
      <c r="D34" s="101"/>
      <c r="E34" s="31" t="s">
        <v>63</v>
      </c>
      <c r="F34" s="29">
        <f t="shared" si="2"/>
        <v>500</v>
      </c>
      <c r="G34" s="29">
        <f>500</f>
        <v>500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16" t="s">
        <v>325</v>
      </c>
    </row>
    <row r="35" spans="1:14" ht="31.5" customHeight="1" thickBot="1" x14ac:dyDescent="0.3">
      <c r="A35" s="102"/>
      <c r="B35" s="102"/>
      <c r="C35" s="102"/>
      <c r="D35" s="102"/>
      <c r="E35" s="31" t="s">
        <v>21</v>
      </c>
      <c r="F35" s="29">
        <f t="shared" si="2"/>
        <v>1535.8000000000002</v>
      </c>
      <c r="G35" s="29">
        <v>219.4</v>
      </c>
      <c r="H35" s="29">
        <v>219.4</v>
      </c>
      <c r="I35" s="29">
        <v>219.4</v>
      </c>
      <c r="J35" s="29">
        <f t="shared" si="3"/>
        <v>219.4</v>
      </c>
      <c r="K35" s="29">
        <f t="shared" si="4"/>
        <v>219.4</v>
      </c>
      <c r="L35" s="29">
        <f t="shared" si="4"/>
        <v>219.4</v>
      </c>
      <c r="M35" s="29">
        <f t="shared" si="4"/>
        <v>219.4</v>
      </c>
    </row>
    <row r="36" spans="1:14" ht="37.5" customHeight="1" thickBot="1" x14ac:dyDescent="0.3">
      <c r="A36" s="100" t="s">
        <v>44</v>
      </c>
      <c r="B36" s="100" t="s">
        <v>45</v>
      </c>
      <c r="C36" s="100" t="s">
        <v>20</v>
      </c>
      <c r="D36" s="100" t="s">
        <v>20</v>
      </c>
      <c r="E36" s="31" t="s">
        <v>89</v>
      </c>
      <c r="F36" s="29">
        <f t="shared" si="2"/>
        <v>435.8</v>
      </c>
      <c r="G36" s="29">
        <f t="shared" ref="G36:M36" si="11">G37+G38</f>
        <v>135.80000000000001</v>
      </c>
      <c r="H36" s="29">
        <f t="shared" si="11"/>
        <v>50</v>
      </c>
      <c r="I36" s="29">
        <f t="shared" si="11"/>
        <v>50</v>
      </c>
      <c r="J36" s="29">
        <f t="shared" si="11"/>
        <v>50</v>
      </c>
      <c r="K36" s="29">
        <f t="shared" si="11"/>
        <v>50</v>
      </c>
      <c r="L36" s="29">
        <f t="shared" si="11"/>
        <v>50</v>
      </c>
      <c r="M36" s="29">
        <f t="shared" si="11"/>
        <v>50</v>
      </c>
    </row>
    <row r="37" spans="1:14" ht="35.25" customHeight="1" thickBot="1" x14ac:dyDescent="0.3">
      <c r="A37" s="101"/>
      <c r="B37" s="101"/>
      <c r="C37" s="101"/>
      <c r="D37" s="101"/>
      <c r="E37" s="31" t="s">
        <v>21</v>
      </c>
      <c r="F37" s="29">
        <f t="shared" si="2"/>
        <v>350</v>
      </c>
      <c r="G37" s="29">
        <v>50</v>
      </c>
      <c r="H37" s="29">
        <v>50</v>
      </c>
      <c r="I37" s="29">
        <v>50</v>
      </c>
      <c r="J37" s="29">
        <f t="shared" si="3"/>
        <v>50</v>
      </c>
      <c r="K37" s="29">
        <f t="shared" si="4"/>
        <v>50</v>
      </c>
      <c r="L37" s="29">
        <f t="shared" si="4"/>
        <v>50</v>
      </c>
      <c r="M37" s="29">
        <f t="shared" si="4"/>
        <v>50</v>
      </c>
    </row>
    <row r="38" spans="1:14" ht="35.25" customHeight="1" thickBot="1" x14ac:dyDescent="0.3">
      <c r="A38" s="102"/>
      <c r="B38" s="102"/>
      <c r="C38" s="102"/>
      <c r="D38" s="102"/>
      <c r="E38" s="31" t="s">
        <v>63</v>
      </c>
      <c r="F38" s="29">
        <f t="shared" si="2"/>
        <v>85.8</v>
      </c>
      <c r="G38" s="29">
        <f>85.8</f>
        <v>85.8</v>
      </c>
      <c r="H38" s="29">
        <v>0</v>
      </c>
      <c r="I38" s="29">
        <v>0</v>
      </c>
      <c r="J38" s="29">
        <f t="shared" si="3"/>
        <v>0</v>
      </c>
      <c r="K38" s="29">
        <f t="shared" si="4"/>
        <v>0</v>
      </c>
      <c r="L38" s="29">
        <f t="shared" si="4"/>
        <v>0</v>
      </c>
      <c r="M38" s="29">
        <f t="shared" si="4"/>
        <v>0</v>
      </c>
      <c r="N38" s="16" t="s">
        <v>326</v>
      </c>
    </row>
    <row r="39" spans="1:14" ht="102" customHeight="1" thickBot="1" x14ac:dyDescent="0.3">
      <c r="A39" s="30" t="s">
        <v>46</v>
      </c>
      <c r="B39" s="31" t="s">
        <v>47</v>
      </c>
      <c r="C39" s="31" t="s">
        <v>20</v>
      </c>
      <c r="D39" s="31" t="s">
        <v>20</v>
      </c>
      <c r="E39" s="31" t="s">
        <v>21</v>
      </c>
      <c r="F39" s="29">
        <f t="shared" si="2"/>
        <v>1687</v>
      </c>
      <c r="G39" s="29">
        <v>241</v>
      </c>
      <c r="H39" s="29">
        <v>241</v>
      </c>
      <c r="I39" s="29">
        <v>241</v>
      </c>
      <c r="J39" s="29">
        <f t="shared" si="3"/>
        <v>241</v>
      </c>
      <c r="K39" s="29">
        <f t="shared" si="4"/>
        <v>241</v>
      </c>
      <c r="L39" s="29">
        <f t="shared" si="4"/>
        <v>241</v>
      </c>
      <c r="M39" s="29">
        <f t="shared" si="4"/>
        <v>241</v>
      </c>
    </row>
    <row r="40" spans="1:14" ht="78" customHeight="1" thickBot="1" x14ac:dyDescent="0.3">
      <c r="A40" s="30" t="s">
        <v>48</v>
      </c>
      <c r="B40" s="31" t="s">
        <v>49</v>
      </c>
      <c r="C40" s="31" t="s">
        <v>20</v>
      </c>
      <c r="D40" s="31" t="s">
        <v>20</v>
      </c>
      <c r="E40" s="31" t="s">
        <v>21</v>
      </c>
      <c r="F40" s="29">
        <f t="shared" si="2"/>
        <v>707</v>
      </c>
      <c r="G40" s="29">
        <v>101</v>
      </c>
      <c r="H40" s="29">
        <v>101</v>
      </c>
      <c r="I40" s="29">
        <v>101</v>
      </c>
      <c r="J40" s="29">
        <f t="shared" si="3"/>
        <v>101</v>
      </c>
      <c r="K40" s="29">
        <f t="shared" si="4"/>
        <v>101</v>
      </c>
      <c r="L40" s="29">
        <f t="shared" si="4"/>
        <v>101</v>
      </c>
      <c r="M40" s="29">
        <f t="shared" si="4"/>
        <v>101</v>
      </c>
    </row>
    <row r="41" spans="1:14" ht="97.5" customHeight="1" thickBot="1" x14ac:dyDescent="0.3">
      <c r="A41" s="30" t="s">
        <v>50</v>
      </c>
      <c r="B41" s="31" t="s">
        <v>51</v>
      </c>
      <c r="C41" s="31" t="s">
        <v>20</v>
      </c>
      <c r="D41" s="31" t="s">
        <v>20</v>
      </c>
      <c r="E41" s="31" t="s">
        <v>21</v>
      </c>
      <c r="F41" s="29">
        <f t="shared" si="2"/>
        <v>1435.6999999999998</v>
      </c>
      <c r="G41" s="29">
        <v>205.1</v>
      </c>
      <c r="H41" s="29">
        <v>205.1</v>
      </c>
      <c r="I41" s="29">
        <v>205.1</v>
      </c>
      <c r="J41" s="29">
        <f t="shared" si="3"/>
        <v>205.1</v>
      </c>
      <c r="K41" s="29">
        <f t="shared" si="4"/>
        <v>205.1</v>
      </c>
      <c r="L41" s="29">
        <f t="shared" si="4"/>
        <v>205.1</v>
      </c>
      <c r="M41" s="29">
        <f t="shared" si="4"/>
        <v>205.1</v>
      </c>
    </row>
    <row r="42" spans="1:14" ht="96.75" customHeight="1" thickBot="1" x14ac:dyDescent="0.3">
      <c r="A42" s="30" t="s">
        <v>52</v>
      </c>
      <c r="B42" s="31" t="s">
        <v>53</v>
      </c>
      <c r="C42" s="31" t="s">
        <v>20</v>
      </c>
      <c r="D42" s="31" t="s">
        <v>20</v>
      </c>
      <c r="E42" s="31" t="s">
        <v>21</v>
      </c>
      <c r="F42" s="29">
        <f t="shared" si="2"/>
        <v>1071</v>
      </c>
      <c r="G42" s="29">
        <v>153</v>
      </c>
      <c r="H42" s="29">
        <v>153</v>
      </c>
      <c r="I42" s="29">
        <v>153</v>
      </c>
      <c r="J42" s="29">
        <f t="shared" si="3"/>
        <v>153</v>
      </c>
      <c r="K42" s="29">
        <f t="shared" si="4"/>
        <v>153</v>
      </c>
      <c r="L42" s="29">
        <f t="shared" si="4"/>
        <v>153</v>
      </c>
      <c r="M42" s="29">
        <f t="shared" si="4"/>
        <v>153</v>
      </c>
    </row>
    <row r="43" spans="1:14" ht="71.25" customHeight="1" thickBot="1" x14ac:dyDescent="0.3">
      <c r="A43" s="30" t="s">
        <v>54</v>
      </c>
      <c r="B43" s="31" t="s">
        <v>55</v>
      </c>
      <c r="C43" s="31" t="s">
        <v>20</v>
      </c>
      <c r="D43" s="31" t="s">
        <v>20</v>
      </c>
      <c r="E43" s="31" t="s">
        <v>21</v>
      </c>
      <c r="F43" s="29">
        <f t="shared" si="2"/>
        <v>1330</v>
      </c>
      <c r="G43" s="29">
        <v>190</v>
      </c>
      <c r="H43" s="29">
        <v>190</v>
      </c>
      <c r="I43" s="29">
        <v>190</v>
      </c>
      <c r="J43" s="29">
        <f t="shared" si="3"/>
        <v>190</v>
      </c>
      <c r="K43" s="29">
        <f t="shared" si="4"/>
        <v>190</v>
      </c>
      <c r="L43" s="29">
        <f t="shared" si="4"/>
        <v>190</v>
      </c>
      <c r="M43" s="29">
        <f t="shared" si="4"/>
        <v>190</v>
      </c>
    </row>
    <row r="44" spans="1:14" ht="81" customHeight="1" thickBot="1" x14ac:dyDescent="0.3">
      <c r="A44" s="30" t="s">
        <v>56</v>
      </c>
      <c r="B44" s="31" t="s">
        <v>57</v>
      </c>
      <c r="C44" s="31" t="s">
        <v>20</v>
      </c>
      <c r="D44" s="31" t="s">
        <v>20</v>
      </c>
      <c r="E44" s="31" t="s">
        <v>21</v>
      </c>
      <c r="F44" s="29">
        <f t="shared" si="2"/>
        <v>791</v>
      </c>
      <c r="G44" s="29">
        <v>113</v>
      </c>
      <c r="H44" s="29">
        <v>113</v>
      </c>
      <c r="I44" s="29">
        <v>113</v>
      </c>
      <c r="J44" s="29">
        <f t="shared" si="3"/>
        <v>113</v>
      </c>
      <c r="K44" s="29">
        <f t="shared" si="4"/>
        <v>113</v>
      </c>
      <c r="L44" s="29">
        <f t="shared" si="4"/>
        <v>113</v>
      </c>
      <c r="M44" s="29">
        <f t="shared" si="4"/>
        <v>113</v>
      </c>
    </row>
    <row r="45" spans="1:14" ht="65.25" customHeight="1" thickBot="1" x14ac:dyDescent="0.3">
      <c r="A45" s="30" t="s">
        <v>58</v>
      </c>
      <c r="B45" s="31" t="s">
        <v>59</v>
      </c>
      <c r="C45" s="31" t="s">
        <v>20</v>
      </c>
      <c r="D45" s="31" t="s">
        <v>20</v>
      </c>
      <c r="E45" s="31" t="s">
        <v>21</v>
      </c>
      <c r="F45" s="29">
        <f t="shared" si="2"/>
        <v>693</v>
      </c>
      <c r="G45" s="29">
        <v>99</v>
      </c>
      <c r="H45" s="29">
        <v>99</v>
      </c>
      <c r="I45" s="29">
        <v>99</v>
      </c>
      <c r="J45" s="29">
        <f t="shared" si="3"/>
        <v>99</v>
      </c>
      <c r="K45" s="29">
        <f t="shared" si="4"/>
        <v>99</v>
      </c>
      <c r="L45" s="29">
        <f t="shared" si="4"/>
        <v>99</v>
      </c>
      <c r="M45" s="29">
        <f t="shared" si="4"/>
        <v>99</v>
      </c>
    </row>
    <row r="46" spans="1:14" ht="131.25" customHeight="1" thickBot="1" x14ac:dyDescent="0.3">
      <c r="A46" s="30" t="s">
        <v>60</v>
      </c>
      <c r="B46" s="31" t="s">
        <v>61</v>
      </c>
      <c r="C46" s="31" t="s">
        <v>20</v>
      </c>
      <c r="D46" s="31" t="s">
        <v>20</v>
      </c>
      <c r="E46" s="31" t="s">
        <v>21</v>
      </c>
      <c r="F46" s="29">
        <f t="shared" si="2"/>
        <v>1057</v>
      </c>
      <c r="G46" s="29">
        <v>151</v>
      </c>
      <c r="H46" s="29">
        <v>151</v>
      </c>
      <c r="I46" s="29">
        <v>151</v>
      </c>
      <c r="J46" s="29">
        <f t="shared" si="3"/>
        <v>151</v>
      </c>
      <c r="K46" s="29">
        <f t="shared" si="4"/>
        <v>151</v>
      </c>
      <c r="L46" s="29">
        <f t="shared" si="4"/>
        <v>151</v>
      </c>
      <c r="M46" s="29">
        <f t="shared" si="4"/>
        <v>151</v>
      </c>
    </row>
    <row r="47" spans="1:14" ht="43.5" customHeight="1" thickBot="1" x14ac:dyDescent="0.3">
      <c r="A47" s="100" t="s">
        <v>62</v>
      </c>
      <c r="B47" s="100" t="s">
        <v>262</v>
      </c>
      <c r="C47" s="100" t="s">
        <v>20</v>
      </c>
      <c r="D47" s="100" t="s">
        <v>20</v>
      </c>
      <c r="E47" s="31" t="s">
        <v>89</v>
      </c>
      <c r="F47" s="29">
        <f t="shared" si="2"/>
        <v>2904.87</v>
      </c>
      <c r="G47" s="29">
        <f t="shared" ref="G47:M47" si="12">G48+G50</f>
        <v>504.87</v>
      </c>
      <c r="H47" s="29">
        <f t="shared" si="12"/>
        <v>400</v>
      </c>
      <c r="I47" s="29">
        <f t="shared" si="12"/>
        <v>400</v>
      </c>
      <c r="J47" s="29">
        <f t="shared" si="12"/>
        <v>400</v>
      </c>
      <c r="K47" s="29">
        <f t="shared" si="12"/>
        <v>400</v>
      </c>
      <c r="L47" s="29">
        <f t="shared" si="12"/>
        <v>400</v>
      </c>
      <c r="M47" s="29">
        <f t="shared" si="12"/>
        <v>400</v>
      </c>
    </row>
    <row r="48" spans="1:14" ht="45" customHeight="1" thickBot="1" x14ac:dyDescent="0.3">
      <c r="A48" s="101"/>
      <c r="B48" s="101"/>
      <c r="C48" s="101"/>
      <c r="D48" s="101"/>
      <c r="E48" s="31" t="s">
        <v>21</v>
      </c>
      <c r="F48" s="29">
        <f t="shared" si="2"/>
        <v>2800</v>
      </c>
      <c r="G48" s="29">
        <v>400</v>
      </c>
      <c r="H48" s="29">
        <v>400</v>
      </c>
      <c r="I48" s="29">
        <v>400</v>
      </c>
      <c r="J48" s="29">
        <f t="shared" si="3"/>
        <v>400</v>
      </c>
      <c r="K48" s="29">
        <f t="shared" si="4"/>
        <v>400</v>
      </c>
      <c r="L48" s="29">
        <f t="shared" si="4"/>
        <v>400</v>
      </c>
      <c r="M48" s="29">
        <f t="shared" si="4"/>
        <v>400</v>
      </c>
    </row>
    <row r="49" spans="1:14" ht="15.75" hidden="1" customHeight="1" thickBot="1" x14ac:dyDescent="0.3">
      <c r="A49" s="101"/>
      <c r="B49" s="101"/>
      <c r="C49" s="101"/>
      <c r="D49" s="101"/>
      <c r="E49" s="31" t="s">
        <v>63</v>
      </c>
      <c r="F49" s="29">
        <f t="shared" si="2"/>
        <v>103.87</v>
      </c>
      <c r="G49" s="29">
        <v>103.87</v>
      </c>
      <c r="H49" s="29">
        <v>0</v>
      </c>
      <c r="I49" s="29"/>
      <c r="J49" s="29">
        <f t="shared" si="3"/>
        <v>0</v>
      </c>
      <c r="K49" s="29">
        <f t="shared" si="4"/>
        <v>0</v>
      </c>
      <c r="L49" s="29">
        <f t="shared" si="4"/>
        <v>0</v>
      </c>
      <c r="M49" s="29">
        <f t="shared" si="4"/>
        <v>0</v>
      </c>
    </row>
    <row r="50" spans="1:14" ht="52.5" customHeight="1" thickBot="1" x14ac:dyDescent="0.3">
      <c r="A50" s="102"/>
      <c r="B50" s="102"/>
      <c r="C50" s="102"/>
      <c r="D50" s="102"/>
      <c r="E50" s="31" t="s">
        <v>93</v>
      </c>
      <c r="F50" s="29">
        <f t="shared" si="2"/>
        <v>104.87</v>
      </c>
      <c r="G50" s="29">
        <f>44+38.68+21.19+1</f>
        <v>104.87</v>
      </c>
      <c r="H50" s="29">
        <v>0</v>
      </c>
      <c r="I50" s="29">
        <v>0</v>
      </c>
      <c r="J50" s="29">
        <f t="shared" si="3"/>
        <v>0</v>
      </c>
      <c r="K50" s="29">
        <f t="shared" si="4"/>
        <v>0</v>
      </c>
      <c r="L50" s="29">
        <f t="shared" si="4"/>
        <v>0</v>
      </c>
      <c r="M50" s="29">
        <f t="shared" si="4"/>
        <v>0</v>
      </c>
      <c r="N50" s="16" t="s">
        <v>327</v>
      </c>
    </row>
    <row r="51" spans="1:14" ht="75.75" thickBot="1" x14ac:dyDescent="0.3">
      <c r="A51" s="34" t="s">
        <v>64</v>
      </c>
      <c r="B51" s="34" t="s">
        <v>65</v>
      </c>
      <c r="C51" s="34" t="s">
        <v>20</v>
      </c>
      <c r="D51" s="35" t="s">
        <v>20</v>
      </c>
      <c r="E51" s="31" t="s">
        <v>21</v>
      </c>
      <c r="F51" s="29">
        <f t="shared" si="2"/>
        <v>815.5</v>
      </c>
      <c r="G51" s="29">
        <v>116.5</v>
      </c>
      <c r="H51" s="29">
        <v>116.5</v>
      </c>
      <c r="I51" s="29">
        <v>116.5</v>
      </c>
      <c r="J51" s="29">
        <f t="shared" si="3"/>
        <v>116.5</v>
      </c>
      <c r="K51" s="29">
        <f t="shared" si="4"/>
        <v>116.5</v>
      </c>
      <c r="L51" s="29">
        <f t="shared" si="4"/>
        <v>116.5</v>
      </c>
      <c r="M51" s="29">
        <f t="shared" si="4"/>
        <v>116.5</v>
      </c>
    </row>
    <row r="52" spans="1:14" ht="45.75" thickBot="1" x14ac:dyDescent="0.3">
      <c r="A52" s="30" t="s">
        <v>66</v>
      </c>
      <c r="B52" s="31" t="s">
        <v>67</v>
      </c>
      <c r="C52" s="31" t="s">
        <v>20</v>
      </c>
      <c r="D52" s="31" t="s">
        <v>20</v>
      </c>
      <c r="E52" s="31" t="s">
        <v>21</v>
      </c>
      <c r="F52" s="29">
        <f t="shared" si="2"/>
        <v>308</v>
      </c>
      <c r="G52" s="29">
        <v>44</v>
      </c>
      <c r="H52" s="29">
        <v>44</v>
      </c>
      <c r="I52" s="29">
        <v>44</v>
      </c>
      <c r="J52" s="29">
        <f t="shared" si="3"/>
        <v>44</v>
      </c>
      <c r="K52" s="29">
        <f t="shared" si="4"/>
        <v>44</v>
      </c>
      <c r="L52" s="29">
        <f t="shared" si="4"/>
        <v>44</v>
      </c>
      <c r="M52" s="29">
        <f t="shared" si="4"/>
        <v>44</v>
      </c>
    </row>
    <row r="53" spans="1:14" ht="72" customHeight="1" thickBot="1" x14ac:dyDescent="0.3">
      <c r="A53" s="30" t="s">
        <v>68</v>
      </c>
      <c r="B53" s="31" t="s">
        <v>69</v>
      </c>
      <c r="C53" s="31" t="s">
        <v>20</v>
      </c>
      <c r="D53" s="31" t="s">
        <v>20</v>
      </c>
      <c r="E53" s="31" t="s">
        <v>21</v>
      </c>
      <c r="F53" s="29">
        <f t="shared" si="2"/>
        <v>770</v>
      </c>
      <c r="G53" s="29">
        <v>110</v>
      </c>
      <c r="H53" s="29">
        <v>110</v>
      </c>
      <c r="I53" s="29">
        <v>110</v>
      </c>
      <c r="J53" s="29">
        <f t="shared" si="3"/>
        <v>110</v>
      </c>
      <c r="K53" s="29">
        <f t="shared" si="4"/>
        <v>110</v>
      </c>
      <c r="L53" s="29">
        <f t="shared" si="4"/>
        <v>110</v>
      </c>
      <c r="M53" s="29">
        <f t="shared" si="4"/>
        <v>110</v>
      </c>
    </row>
    <row r="54" spans="1:14" ht="72" customHeight="1" thickBot="1" x14ac:dyDescent="0.3">
      <c r="A54" s="100" t="s">
        <v>70</v>
      </c>
      <c r="B54" s="100" t="s">
        <v>71</v>
      </c>
      <c r="C54" s="100" t="s">
        <v>20</v>
      </c>
      <c r="D54" s="100" t="s">
        <v>20</v>
      </c>
      <c r="E54" s="31" t="s">
        <v>89</v>
      </c>
      <c r="F54" s="29">
        <f>F55+F56</f>
        <v>1095</v>
      </c>
      <c r="G54" s="29">
        <f t="shared" ref="G54:M54" si="13">G55+G56</f>
        <v>495</v>
      </c>
      <c r="H54" s="29">
        <f t="shared" si="13"/>
        <v>100</v>
      </c>
      <c r="I54" s="29">
        <f t="shared" si="13"/>
        <v>100</v>
      </c>
      <c r="J54" s="29">
        <f t="shared" si="13"/>
        <v>100</v>
      </c>
      <c r="K54" s="29">
        <f t="shared" si="13"/>
        <v>100</v>
      </c>
      <c r="L54" s="29">
        <f t="shared" si="13"/>
        <v>100</v>
      </c>
      <c r="M54" s="29">
        <f t="shared" si="13"/>
        <v>100</v>
      </c>
    </row>
    <row r="55" spans="1:14" ht="72" customHeight="1" thickBot="1" x14ac:dyDescent="0.3">
      <c r="A55" s="101"/>
      <c r="B55" s="101"/>
      <c r="C55" s="101"/>
      <c r="D55" s="101"/>
      <c r="E55" s="31" t="s">
        <v>63</v>
      </c>
      <c r="F55" s="29">
        <f t="shared" si="2"/>
        <v>395</v>
      </c>
      <c r="G55" s="29">
        <v>395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16" t="s">
        <v>328</v>
      </c>
    </row>
    <row r="56" spans="1:14" ht="66.75" customHeight="1" thickBot="1" x14ac:dyDescent="0.3">
      <c r="A56" s="102"/>
      <c r="B56" s="102"/>
      <c r="C56" s="102"/>
      <c r="D56" s="102"/>
      <c r="E56" s="31" t="s">
        <v>21</v>
      </c>
      <c r="F56" s="29">
        <f t="shared" si="2"/>
        <v>700</v>
      </c>
      <c r="G56" s="29">
        <v>100</v>
      </c>
      <c r="H56" s="29">
        <v>100</v>
      </c>
      <c r="I56" s="29">
        <v>100</v>
      </c>
      <c r="J56" s="29">
        <f t="shared" si="3"/>
        <v>100</v>
      </c>
      <c r="K56" s="29">
        <f t="shared" si="4"/>
        <v>100</v>
      </c>
      <c r="L56" s="29">
        <f t="shared" si="4"/>
        <v>100</v>
      </c>
      <c r="M56" s="29">
        <f t="shared" si="4"/>
        <v>100</v>
      </c>
    </row>
    <row r="57" spans="1:14" ht="79.5" customHeight="1" thickBot="1" x14ac:dyDescent="0.3">
      <c r="A57" s="30" t="s">
        <v>72</v>
      </c>
      <c r="B57" s="31" t="s">
        <v>73</v>
      </c>
      <c r="C57" s="31" t="s">
        <v>20</v>
      </c>
      <c r="D57" s="31" t="s">
        <v>20</v>
      </c>
      <c r="E57" s="31" t="s">
        <v>21</v>
      </c>
      <c r="F57" s="29">
        <f t="shared" si="2"/>
        <v>490</v>
      </c>
      <c r="G57" s="29">
        <v>70</v>
      </c>
      <c r="H57" s="29">
        <v>70</v>
      </c>
      <c r="I57" s="29">
        <v>70</v>
      </c>
      <c r="J57" s="29">
        <f t="shared" si="3"/>
        <v>70</v>
      </c>
      <c r="K57" s="29">
        <f t="shared" si="4"/>
        <v>70</v>
      </c>
      <c r="L57" s="29">
        <f t="shared" si="4"/>
        <v>70</v>
      </c>
      <c r="M57" s="29">
        <f t="shared" si="4"/>
        <v>70</v>
      </c>
    </row>
    <row r="58" spans="1:14" ht="73.5" customHeight="1" thickBot="1" x14ac:dyDescent="0.3">
      <c r="A58" s="30" t="s">
        <v>74</v>
      </c>
      <c r="B58" s="31" t="s">
        <v>75</v>
      </c>
      <c r="C58" s="31" t="s">
        <v>20</v>
      </c>
      <c r="D58" s="31" t="s">
        <v>20</v>
      </c>
      <c r="E58" s="31" t="s">
        <v>21</v>
      </c>
      <c r="F58" s="29">
        <f t="shared" si="2"/>
        <v>210</v>
      </c>
      <c r="G58" s="29">
        <v>30</v>
      </c>
      <c r="H58" s="29">
        <v>30</v>
      </c>
      <c r="I58" s="29">
        <v>30</v>
      </c>
      <c r="J58" s="29">
        <f t="shared" si="3"/>
        <v>30</v>
      </c>
      <c r="K58" s="29">
        <f t="shared" si="4"/>
        <v>30</v>
      </c>
      <c r="L58" s="29">
        <f t="shared" si="4"/>
        <v>30</v>
      </c>
      <c r="M58" s="29">
        <f t="shared" si="4"/>
        <v>30</v>
      </c>
    </row>
    <row r="59" spans="1:14" ht="65.25" customHeight="1" thickBot="1" x14ac:dyDescent="0.3">
      <c r="A59" s="30" t="s">
        <v>76</v>
      </c>
      <c r="B59" s="31" t="s">
        <v>77</v>
      </c>
      <c r="C59" s="31" t="s">
        <v>20</v>
      </c>
      <c r="D59" s="31" t="s">
        <v>20</v>
      </c>
      <c r="E59" s="31" t="s">
        <v>21</v>
      </c>
      <c r="F59" s="29">
        <f t="shared" si="2"/>
        <v>0</v>
      </c>
      <c r="G59" s="29">
        <v>0</v>
      </c>
      <c r="H59" s="29">
        <v>0</v>
      </c>
      <c r="I59" s="29">
        <v>0</v>
      </c>
      <c r="J59" s="29">
        <f t="shared" si="3"/>
        <v>0</v>
      </c>
      <c r="K59" s="29">
        <f t="shared" si="4"/>
        <v>0</v>
      </c>
      <c r="L59" s="29">
        <f t="shared" si="4"/>
        <v>0</v>
      </c>
      <c r="M59" s="29">
        <f t="shared" si="4"/>
        <v>0</v>
      </c>
    </row>
    <row r="60" spans="1:14" ht="66" customHeight="1" thickBot="1" x14ac:dyDescent="0.3">
      <c r="A60" s="30" t="s">
        <v>78</v>
      </c>
      <c r="B60" s="31" t="s">
        <v>79</v>
      </c>
      <c r="C60" s="31" t="s">
        <v>20</v>
      </c>
      <c r="D60" s="31" t="s">
        <v>20</v>
      </c>
      <c r="E60" s="31" t="s">
        <v>21</v>
      </c>
      <c r="F60" s="29">
        <f t="shared" si="2"/>
        <v>1400</v>
      </c>
      <c r="G60" s="29">
        <v>200</v>
      </c>
      <c r="H60" s="29">
        <f>H61+H62+H64</f>
        <v>200</v>
      </c>
      <c r="I60" s="29">
        <v>200</v>
      </c>
      <c r="J60" s="29">
        <f t="shared" si="3"/>
        <v>200</v>
      </c>
      <c r="K60" s="29">
        <f t="shared" si="4"/>
        <v>200</v>
      </c>
      <c r="L60" s="29">
        <f t="shared" si="4"/>
        <v>200</v>
      </c>
      <c r="M60" s="29">
        <f t="shared" si="4"/>
        <v>200</v>
      </c>
    </row>
    <row r="61" spans="1:14" ht="69.75" customHeight="1" thickBot="1" x14ac:dyDescent="0.3">
      <c r="A61" s="30" t="s">
        <v>80</v>
      </c>
      <c r="B61" s="31" t="s">
        <v>81</v>
      </c>
      <c r="C61" s="31" t="s">
        <v>20</v>
      </c>
      <c r="D61" s="31" t="s">
        <v>20</v>
      </c>
      <c r="E61" s="31" t="s">
        <v>21</v>
      </c>
      <c r="F61" s="29">
        <f t="shared" si="2"/>
        <v>1400</v>
      </c>
      <c r="G61" s="29">
        <v>200</v>
      </c>
      <c r="H61" s="29">
        <v>200</v>
      </c>
      <c r="I61" s="29">
        <v>200</v>
      </c>
      <c r="J61" s="29">
        <f t="shared" si="3"/>
        <v>200</v>
      </c>
      <c r="K61" s="29">
        <f t="shared" si="4"/>
        <v>200</v>
      </c>
      <c r="L61" s="29">
        <f t="shared" si="4"/>
        <v>200</v>
      </c>
      <c r="M61" s="29">
        <f t="shared" si="4"/>
        <v>200</v>
      </c>
    </row>
    <row r="62" spans="1:14" ht="57.75" customHeight="1" x14ac:dyDescent="0.25">
      <c r="A62" s="100" t="s">
        <v>82</v>
      </c>
      <c r="B62" s="100" t="s">
        <v>261</v>
      </c>
      <c r="C62" s="100" t="s">
        <v>20</v>
      </c>
      <c r="D62" s="100" t="s">
        <v>20</v>
      </c>
      <c r="E62" s="100" t="s">
        <v>21</v>
      </c>
      <c r="F62" s="106">
        <f t="shared" si="2"/>
        <v>0</v>
      </c>
      <c r="G62" s="106" t="s">
        <v>83</v>
      </c>
      <c r="H62" s="106">
        <v>0</v>
      </c>
      <c r="I62" s="106">
        <v>0</v>
      </c>
      <c r="J62" s="106">
        <f t="shared" si="3"/>
        <v>0</v>
      </c>
      <c r="K62" s="106">
        <f t="shared" si="4"/>
        <v>0</v>
      </c>
      <c r="L62" s="106">
        <f t="shared" si="4"/>
        <v>0</v>
      </c>
      <c r="M62" s="106">
        <f t="shared" si="4"/>
        <v>0</v>
      </c>
    </row>
    <row r="63" spans="1:14" ht="15.75" thickBot="1" x14ac:dyDescent="0.3">
      <c r="A63" s="102"/>
      <c r="B63" s="102"/>
      <c r="C63" s="102"/>
      <c r="D63" s="102"/>
      <c r="E63" s="102"/>
      <c r="F63" s="107"/>
      <c r="G63" s="107"/>
      <c r="H63" s="107"/>
      <c r="I63" s="107"/>
      <c r="J63" s="107"/>
      <c r="K63" s="107"/>
      <c r="L63" s="107"/>
      <c r="M63" s="107"/>
    </row>
    <row r="64" spans="1:14" ht="45.75" thickBot="1" x14ac:dyDescent="0.3">
      <c r="A64" s="30" t="s">
        <v>84</v>
      </c>
      <c r="B64" s="31" t="s">
        <v>85</v>
      </c>
      <c r="C64" s="31" t="s">
        <v>20</v>
      </c>
      <c r="D64" s="31" t="s">
        <v>20</v>
      </c>
      <c r="E64" s="31" t="s">
        <v>21</v>
      </c>
      <c r="F64" s="29">
        <f t="shared" si="2"/>
        <v>0</v>
      </c>
      <c r="G64" s="29">
        <v>0</v>
      </c>
      <c r="H64" s="29">
        <v>0</v>
      </c>
      <c r="I64" s="29">
        <v>0</v>
      </c>
      <c r="J64" s="29">
        <f t="shared" si="3"/>
        <v>0</v>
      </c>
      <c r="K64" s="29">
        <f t="shared" si="4"/>
        <v>0</v>
      </c>
      <c r="L64" s="29">
        <f t="shared" si="4"/>
        <v>0</v>
      </c>
      <c r="M64" s="29">
        <f t="shared" si="4"/>
        <v>0</v>
      </c>
    </row>
    <row r="65" spans="1:16" ht="64.5" customHeight="1" thickBot="1" x14ac:dyDescent="0.3">
      <c r="A65" s="30" t="s">
        <v>86</v>
      </c>
      <c r="B65" s="31" t="s">
        <v>87</v>
      </c>
      <c r="C65" s="31" t="s">
        <v>20</v>
      </c>
      <c r="D65" s="31" t="s">
        <v>20</v>
      </c>
      <c r="E65" s="31" t="s">
        <v>21</v>
      </c>
      <c r="F65" s="29">
        <f t="shared" si="2"/>
        <v>420</v>
      </c>
      <c r="G65" s="29">
        <v>60</v>
      </c>
      <c r="H65" s="29">
        <v>60</v>
      </c>
      <c r="I65" s="29">
        <v>60</v>
      </c>
      <c r="J65" s="29">
        <f t="shared" si="3"/>
        <v>60</v>
      </c>
      <c r="K65" s="29">
        <f t="shared" si="4"/>
        <v>60</v>
      </c>
      <c r="L65" s="29">
        <f t="shared" si="4"/>
        <v>60</v>
      </c>
      <c r="M65" s="29">
        <f t="shared" si="4"/>
        <v>60</v>
      </c>
    </row>
    <row r="66" spans="1:16" ht="15.75" thickBot="1" x14ac:dyDescent="0.3">
      <c r="A66" s="108" t="s">
        <v>88</v>
      </c>
      <c r="B66" s="109"/>
      <c r="C66" s="109"/>
      <c r="D66" s="110"/>
      <c r="E66" s="31" t="s">
        <v>89</v>
      </c>
      <c r="F66" s="29">
        <f t="shared" si="2"/>
        <v>52649.069999999992</v>
      </c>
      <c r="G66" s="29">
        <f>G67+G68</f>
        <v>8451.869999999999</v>
      </c>
      <c r="H66" s="29">
        <f t="shared" ref="H66:M66" si="14">H67+H68</f>
        <v>7366.2</v>
      </c>
      <c r="I66" s="29">
        <f t="shared" si="14"/>
        <v>7366.2</v>
      </c>
      <c r="J66" s="29">
        <f t="shared" si="14"/>
        <v>7366.2</v>
      </c>
      <c r="K66" s="29">
        <f t="shared" si="14"/>
        <v>7366.2</v>
      </c>
      <c r="L66" s="29">
        <f t="shared" si="14"/>
        <v>7366.2</v>
      </c>
      <c r="M66" s="29">
        <f t="shared" si="14"/>
        <v>7366.2</v>
      </c>
    </row>
    <row r="67" spans="1:16" ht="19.5" customHeight="1" thickBot="1" x14ac:dyDescent="0.3">
      <c r="A67" s="111"/>
      <c r="B67" s="112"/>
      <c r="C67" s="112"/>
      <c r="D67" s="113"/>
      <c r="E67" s="31" t="s">
        <v>21</v>
      </c>
      <c r="F67" s="29">
        <f t="shared" si="2"/>
        <v>51563.399999999994</v>
      </c>
      <c r="G67" s="29">
        <f>G20+G22+G26+G29+G60+G65</f>
        <v>7366.2</v>
      </c>
      <c r="H67" s="29">
        <f t="shared" ref="H67:M67" si="15">H20+H22+H26+H29+H60+H65</f>
        <v>7366.2</v>
      </c>
      <c r="I67" s="29">
        <f t="shared" si="15"/>
        <v>7366.2</v>
      </c>
      <c r="J67" s="29">
        <f t="shared" si="15"/>
        <v>7366.2</v>
      </c>
      <c r="K67" s="29">
        <f t="shared" si="15"/>
        <v>7366.2</v>
      </c>
      <c r="L67" s="29">
        <f t="shared" si="15"/>
        <v>7366.2</v>
      </c>
      <c r="M67" s="29">
        <f t="shared" si="15"/>
        <v>7366.2</v>
      </c>
    </row>
    <row r="68" spans="1:16" ht="20.25" customHeight="1" thickBot="1" x14ac:dyDescent="0.3">
      <c r="A68" s="114"/>
      <c r="B68" s="115"/>
      <c r="C68" s="115"/>
      <c r="D68" s="116"/>
      <c r="E68" s="36" t="s">
        <v>63</v>
      </c>
      <c r="F68" s="29">
        <f t="shared" si="2"/>
        <v>1085.67</v>
      </c>
      <c r="G68" s="37">
        <f>G50+G38+G55+G34</f>
        <v>1085.67</v>
      </c>
      <c r="H68" s="37">
        <f t="shared" ref="H68:M68" si="16">H50+H38+H55+H34</f>
        <v>0</v>
      </c>
      <c r="I68" s="37">
        <f t="shared" si="16"/>
        <v>0</v>
      </c>
      <c r="J68" s="37">
        <f t="shared" si="16"/>
        <v>0</v>
      </c>
      <c r="K68" s="37">
        <f t="shared" si="16"/>
        <v>0</v>
      </c>
      <c r="L68" s="37">
        <f t="shared" si="16"/>
        <v>0</v>
      </c>
      <c r="M68" s="37">
        <f t="shared" si="16"/>
        <v>0</v>
      </c>
    </row>
    <row r="69" spans="1:16" ht="21" customHeight="1" thickBot="1" x14ac:dyDescent="0.3">
      <c r="A69" s="103" t="s">
        <v>90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5"/>
    </row>
    <row r="70" spans="1:16" ht="37.5" customHeight="1" thickBot="1" x14ac:dyDescent="0.3">
      <c r="A70" s="100" t="s">
        <v>91</v>
      </c>
      <c r="B70" s="100" t="s">
        <v>92</v>
      </c>
      <c r="C70" s="100" t="s">
        <v>20</v>
      </c>
      <c r="D70" s="100" t="s">
        <v>20</v>
      </c>
      <c r="E70" s="31" t="s">
        <v>10</v>
      </c>
      <c r="F70" s="29">
        <f t="shared" ref="F70:F77" si="17">SUM(G70:M70)</f>
        <v>114444.6</v>
      </c>
      <c r="G70" s="29">
        <f t="shared" ref="G70:M70" si="18">G71+G72</f>
        <v>11846</v>
      </c>
      <c r="H70" s="29">
        <f t="shared" si="18"/>
        <v>15377</v>
      </c>
      <c r="I70" s="29">
        <f t="shared" si="18"/>
        <v>16425.5</v>
      </c>
      <c r="J70" s="29">
        <f t="shared" si="18"/>
        <v>16425.5</v>
      </c>
      <c r="K70" s="29">
        <f t="shared" si="18"/>
        <v>17246.8</v>
      </c>
      <c r="L70" s="29">
        <f t="shared" si="18"/>
        <v>18109.2</v>
      </c>
      <c r="M70" s="29">
        <f t="shared" si="18"/>
        <v>19014.599999999999</v>
      </c>
    </row>
    <row r="71" spans="1:16" ht="15.75" thickBot="1" x14ac:dyDescent="0.3">
      <c r="A71" s="101"/>
      <c r="B71" s="101"/>
      <c r="C71" s="101"/>
      <c r="D71" s="101"/>
      <c r="E71" s="31" t="s">
        <v>21</v>
      </c>
      <c r="F71" s="29">
        <f t="shared" si="17"/>
        <v>45949.100000000006</v>
      </c>
      <c r="G71" s="29">
        <v>4738.3999999999996</v>
      </c>
      <c r="H71" s="29">
        <f>6570.2-248.1</f>
        <v>6322.0999999999995</v>
      </c>
      <c r="I71" s="29">
        <v>6570.2</v>
      </c>
      <c r="J71" s="29">
        <v>6570.2</v>
      </c>
      <c r="K71" s="29">
        <v>6898.7</v>
      </c>
      <c r="L71" s="29">
        <v>7243.7</v>
      </c>
      <c r="M71" s="38">
        <v>7605.8</v>
      </c>
      <c r="N71" s="16" t="s">
        <v>321</v>
      </c>
      <c r="O71" s="16">
        <v>-248066.67</v>
      </c>
      <c r="P71" s="39"/>
    </row>
    <row r="72" spans="1:16" ht="62.25" customHeight="1" thickBot="1" x14ac:dyDescent="0.3">
      <c r="A72" s="102"/>
      <c r="B72" s="102"/>
      <c r="C72" s="102"/>
      <c r="D72" s="102"/>
      <c r="E72" s="31" t="s">
        <v>93</v>
      </c>
      <c r="F72" s="29">
        <f t="shared" si="17"/>
        <v>68495.5</v>
      </c>
      <c r="G72" s="29">
        <v>7107.6</v>
      </c>
      <c r="H72" s="29">
        <v>9054.9</v>
      </c>
      <c r="I72" s="29">
        <v>9855.2999999999993</v>
      </c>
      <c r="J72" s="29">
        <v>9855.2999999999993</v>
      </c>
      <c r="K72" s="29">
        <v>10348.1</v>
      </c>
      <c r="L72" s="29">
        <v>10865.5</v>
      </c>
      <c r="M72" s="38">
        <v>11408.8</v>
      </c>
      <c r="N72" s="16" t="s">
        <v>320</v>
      </c>
    </row>
    <row r="73" spans="1:16" ht="60" customHeight="1" thickBot="1" x14ac:dyDescent="0.3">
      <c r="A73" s="30" t="s">
        <v>94</v>
      </c>
      <c r="B73" s="31" t="s">
        <v>279</v>
      </c>
      <c r="C73" s="31" t="s">
        <v>20</v>
      </c>
      <c r="D73" s="31" t="s">
        <v>20</v>
      </c>
      <c r="E73" s="31" t="s">
        <v>93</v>
      </c>
      <c r="F73" s="29">
        <f t="shared" si="17"/>
        <v>100987.29999999999</v>
      </c>
      <c r="G73" s="29">
        <v>12209</v>
      </c>
      <c r="H73" s="29">
        <v>14429.6</v>
      </c>
      <c r="I73" s="29">
        <v>14001.3</v>
      </c>
      <c r="J73" s="29">
        <v>14001.3</v>
      </c>
      <c r="K73" s="29">
        <v>14701.4</v>
      </c>
      <c r="L73" s="29">
        <v>15436.4</v>
      </c>
      <c r="M73" s="38">
        <v>16208.3</v>
      </c>
      <c r="N73" s="40" t="s">
        <v>319</v>
      </c>
      <c r="O73" s="41"/>
    </row>
    <row r="74" spans="1:16" ht="80.25" customHeight="1" thickBot="1" x14ac:dyDescent="0.3">
      <c r="A74" s="30" t="s">
        <v>95</v>
      </c>
      <c r="B74" s="31" t="s">
        <v>96</v>
      </c>
      <c r="C74" s="31" t="s">
        <v>20</v>
      </c>
      <c r="D74" s="31" t="s">
        <v>20</v>
      </c>
      <c r="E74" s="31" t="s">
        <v>21</v>
      </c>
      <c r="F74" s="29">
        <f t="shared" si="17"/>
        <v>139061.85699999999</v>
      </c>
      <c r="G74" s="29">
        <v>21376.757000000001</v>
      </c>
      <c r="H74" s="29">
        <f>7181+11360.2+3931.7+248.1</f>
        <v>22721</v>
      </c>
      <c r="I74" s="29">
        <v>17398.2</v>
      </c>
      <c r="J74" s="29">
        <v>17996.2</v>
      </c>
      <c r="K74" s="29">
        <v>18896</v>
      </c>
      <c r="L74" s="29">
        <v>19840.8</v>
      </c>
      <c r="M74" s="38">
        <v>20832.900000000001</v>
      </c>
      <c r="N74" s="42" t="s">
        <v>321</v>
      </c>
    </row>
    <row r="75" spans="1:16" ht="20.25" customHeight="1" thickBot="1" x14ac:dyDescent="0.3">
      <c r="A75" s="108" t="s">
        <v>97</v>
      </c>
      <c r="B75" s="109"/>
      <c r="C75" s="109"/>
      <c r="D75" s="110"/>
      <c r="E75" s="31" t="s">
        <v>89</v>
      </c>
      <c r="F75" s="29">
        <f t="shared" si="17"/>
        <v>354493.75699999998</v>
      </c>
      <c r="G75" s="29">
        <f>G76+G77</f>
        <v>45431.756999999998</v>
      </c>
      <c r="H75" s="29">
        <f t="shared" ref="H75:M75" si="19">H76+H77</f>
        <v>52527.6</v>
      </c>
      <c r="I75" s="29">
        <f t="shared" si="19"/>
        <v>47825</v>
      </c>
      <c r="J75" s="29">
        <f t="shared" si="19"/>
        <v>48423</v>
      </c>
      <c r="K75" s="29">
        <f t="shared" si="19"/>
        <v>50844.2</v>
      </c>
      <c r="L75" s="29">
        <f t="shared" si="19"/>
        <v>53386.400000000001</v>
      </c>
      <c r="M75" s="29">
        <f t="shared" si="19"/>
        <v>56055.8</v>
      </c>
    </row>
    <row r="76" spans="1:16" ht="48" customHeight="1" thickBot="1" x14ac:dyDescent="0.3">
      <c r="A76" s="111"/>
      <c r="B76" s="112"/>
      <c r="C76" s="112"/>
      <c r="D76" s="113"/>
      <c r="E76" s="31" t="s">
        <v>93</v>
      </c>
      <c r="F76" s="29">
        <f t="shared" si="17"/>
        <v>169482.8</v>
      </c>
      <c r="G76" s="29">
        <f>G72+G73</f>
        <v>19316.599999999999</v>
      </c>
      <c r="H76" s="29">
        <f t="shared" ref="H76:M76" si="20">H72+H73</f>
        <v>23484.5</v>
      </c>
      <c r="I76" s="29">
        <f t="shared" si="20"/>
        <v>23856.6</v>
      </c>
      <c r="J76" s="29">
        <f t="shared" si="20"/>
        <v>23856.6</v>
      </c>
      <c r="K76" s="29">
        <f t="shared" si="20"/>
        <v>25049.5</v>
      </c>
      <c r="L76" s="29">
        <f t="shared" si="20"/>
        <v>26301.9</v>
      </c>
      <c r="M76" s="29">
        <f t="shared" si="20"/>
        <v>27617.1</v>
      </c>
    </row>
    <row r="77" spans="1:16" ht="15.75" thickBot="1" x14ac:dyDescent="0.3">
      <c r="A77" s="114"/>
      <c r="B77" s="115"/>
      <c r="C77" s="115"/>
      <c r="D77" s="116"/>
      <c r="E77" s="31" t="s">
        <v>21</v>
      </c>
      <c r="F77" s="29">
        <f t="shared" si="17"/>
        <v>185010.95699999999</v>
      </c>
      <c r="G77" s="29">
        <f>G71+G74</f>
        <v>26115.156999999999</v>
      </c>
      <c r="H77" s="29">
        <f t="shared" ref="H77:M77" si="21">H71+H74</f>
        <v>29043.1</v>
      </c>
      <c r="I77" s="29">
        <f t="shared" si="21"/>
        <v>23968.400000000001</v>
      </c>
      <c r="J77" s="29">
        <f t="shared" si="21"/>
        <v>24566.400000000001</v>
      </c>
      <c r="K77" s="29">
        <f t="shared" si="21"/>
        <v>25794.7</v>
      </c>
      <c r="L77" s="29">
        <f t="shared" si="21"/>
        <v>27084.5</v>
      </c>
      <c r="M77" s="29">
        <f t="shared" si="21"/>
        <v>28438.7</v>
      </c>
      <c r="N77" s="29"/>
    </row>
    <row r="78" spans="1:16" ht="19.5" customHeight="1" thickBot="1" x14ac:dyDescent="0.3">
      <c r="A78" s="103" t="s">
        <v>98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5"/>
      <c r="O78" s="43"/>
    </row>
    <row r="79" spans="1:16" ht="57" customHeight="1" thickBot="1" x14ac:dyDescent="0.3">
      <c r="A79" s="30" t="s">
        <v>99</v>
      </c>
      <c r="B79" s="31" t="s">
        <v>100</v>
      </c>
      <c r="C79" s="31" t="s">
        <v>20</v>
      </c>
      <c r="D79" s="31" t="s">
        <v>20</v>
      </c>
      <c r="E79" s="31" t="s">
        <v>21</v>
      </c>
      <c r="F79" s="29">
        <f t="shared" ref="F79:F84" si="22">SUM(G79:M79)</f>
        <v>2002</v>
      </c>
      <c r="G79" s="29">
        <f t="shared" ref="G79:H79" si="23">SUM(G80:G88)</f>
        <v>286</v>
      </c>
      <c r="H79" s="29">
        <f t="shared" si="23"/>
        <v>286</v>
      </c>
      <c r="I79" s="29">
        <f t="shared" ref="I79" si="24">SUM(I80:I88)</f>
        <v>286</v>
      </c>
      <c r="J79" s="29">
        <f>I79</f>
        <v>286</v>
      </c>
      <c r="K79" s="29">
        <f>J79</f>
        <v>286</v>
      </c>
      <c r="L79" s="29">
        <f t="shared" ref="L79:M79" si="25">K79</f>
        <v>286</v>
      </c>
      <c r="M79" s="29">
        <f t="shared" si="25"/>
        <v>286</v>
      </c>
    </row>
    <row r="80" spans="1:16" ht="59.25" customHeight="1" thickBot="1" x14ac:dyDescent="0.3">
      <c r="A80" s="30" t="s">
        <v>101</v>
      </c>
      <c r="B80" s="31" t="s">
        <v>102</v>
      </c>
      <c r="C80" s="31" t="s">
        <v>20</v>
      </c>
      <c r="D80" s="31" t="s">
        <v>20</v>
      </c>
      <c r="E80" s="31" t="s">
        <v>21</v>
      </c>
      <c r="F80" s="29">
        <f t="shared" si="22"/>
        <v>350</v>
      </c>
      <c r="G80" s="29">
        <v>50</v>
      </c>
      <c r="H80" s="29">
        <v>50</v>
      </c>
      <c r="I80" s="29">
        <v>50</v>
      </c>
      <c r="J80" s="29">
        <f t="shared" ref="J80:J88" si="26">I80</f>
        <v>50</v>
      </c>
      <c r="K80" s="29">
        <f t="shared" ref="K80:M88" si="27">J80</f>
        <v>50</v>
      </c>
      <c r="L80" s="29">
        <f t="shared" si="27"/>
        <v>50</v>
      </c>
      <c r="M80" s="29">
        <f>L80</f>
        <v>50</v>
      </c>
    </row>
    <row r="81" spans="1:13" ht="60.75" customHeight="1" thickBot="1" x14ac:dyDescent="0.3">
      <c r="A81" s="30" t="s">
        <v>103</v>
      </c>
      <c r="B81" s="31" t="s">
        <v>104</v>
      </c>
      <c r="C81" s="31" t="s">
        <v>20</v>
      </c>
      <c r="D81" s="31" t="s">
        <v>20</v>
      </c>
      <c r="E81" s="31" t="s">
        <v>21</v>
      </c>
      <c r="F81" s="29">
        <f t="shared" si="22"/>
        <v>315</v>
      </c>
      <c r="G81" s="29">
        <v>45</v>
      </c>
      <c r="H81" s="29">
        <v>45</v>
      </c>
      <c r="I81" s="29">
        <v>45</v>
      </c>
      <c r="J81" s="29">
        <f t="shared" si="26"/>
        <v>45</v>
      </c>
      <c r="K81" s="29">
        <f t="shared" si="27"/>
        <v>45</v>
      </c>
      <c r="L81" s="29">
        <f t="shared" si="27"/>
        <v>45</v>
      </c>
      <c r="M81" s="29">
        <f t="shared" si="27"/>
        <v>45</v>
      </c>
    </row>
    <row r="82" spans="1:13" ht="66" customHeight="1" thickBot="1" x14ac:dyDescent="0.3">
      <c r="A82" s="30" t="s">
        <v>105</v>
      </c>
      <c r="B82" s="31" t="s">
        <v>106</v>
      </c>
      <c r="C82" s="31" t="s">
        <v>20</v>
      </c>
      <c r="D82" s="31" t="s">
        <v>20</v>
      </c>
      <c r="E82" s="31" t="s">
        <v>21</v>
      </c>
      <c r="F82" s="29">
        <f t="shared" si="22"/>
        <v>315</v>
      </c>
      <c r="G82" s="29">
        <v>45</v>
      </c>
      <c r="H82" s="29">
        <v>45</v>
      </c>
      <c r="I82" s="29">
        <v>45</v>
      </c>
      <c r="J82" s="29">
        <f t="shared" si="26"/>
        <v>45</v>
      </c>
      <c r="K82" s="29">
        <f t="shared" si="27"/>
        <v>45</v>
      </c>
      <c r="L82" s="29">
        <f t="shared" si="27"/>
        <v>45</v>
      </c>
      <c r="M82" s="29">
        <f t="shared" si="27"/>
        <v>45</v>
      </c>
    </row>
    <row r="83" spans="1:13" ht="65.25" customHeight="1" thickBot="1" x14ac:dyDescent="0.3">
      <c r="A83" s="30" t="s">
        <v>107</v>
      </c>
      <c r="B83" s="31" t="s">
        <v>108</v>
      </c>
      <c r="C83" s="31" t="s">
        <v>20</v>
      </c>
      <c r="D83" s="31" t="s">
        <v>20</v>
      </c>
      <c r="E83" s="31" t="s">
        <v>21</v>
      </c>
      <c r="F83" s="29">
        <f t="shared" si="22"/>
        <v>350</v>
      </c>
      <c r="G83" s="29">
        <v>50</v>
      </c>
      <c r="H83" s="29">
        <v>50</v>
      </c>
      <c r="I83" s="29">
        <v>50</v>
      </c>
      <c r="J83" s="29">
        <f t="shared" si="26"/>
        <v>50</v>
      </c>
      <c r="K83" s="29">
        <f t="shared" si="27"/>
        <v>50</v>
      </c>
      <c r="L83" s="29">
        <f t="shared" si="27"/>
        <v>50</v>
      </c>
      <c r="M83" s="29">
        <f t="shared" si="27"/>
        <v>50</v>
      </c>
    </row>
    <row r="84" spans="1:13" ht="63" customHeight="1" thickBot="1" x14ac:dyDescent="0.3">
      <c r="A84" s="30" t="s">
        <v>109</v>
      </c>
      <c r="B84" s="31" t="s">
        <v>110</v>
      </c>
      <c r="C84" s="31" t="s">
        <v>20</v>
      </c>
      <c r="D84" s="31" t="s">
        <v>20</v>
      </c>
      <c r="E84" s="31" t="s">
        <v>21</v>
      </c>
      <c r="F84" s="29">
        <f t="shared" si="22"/>
        <v>315</v>
      </c>
      <c r="G84" s="29">
        <v>45</v>
      </c>
      <c r="H84" s="29">
        <v>45</v>
      </c>
      <c r="I84" s="29">
        <v>45</v>
      </c>
      <c r="J84" s="29">
        <f t="shared" si="26"/>
        <v>45</v>
      </c>
      <c r="K84" s="29">
        <f t="shared" si="27"/>
        <v>45</v>
      </c>
      <c r="L84" s="29">
        <f t="shared" si="27"/>
        <v>45</v>
      </c>
      <c r="M84" s="29">
        <f t="shared" ref="M84" si="28">L84</f>
        <v>45</v>
      </c>
    </row>
    <row r="85" spans="1:13" ht="70.5" customHeight="1" thickBot="1" x14ac:dyDescent="0.3">
      <c r="A85" s="30" t="s">
        <v>111</v>
      </c>
      <c r="B85" s="31" t="s">
        <v>112</v>
      </c>
      <c r="C85" s="31" t="s">
        <v>20</v>
      </c>
      <c r="D85" s="31" t="s">
        <v>20</v>
      </c>
      <c r="E85" s="31" t="s">
        <v>21</v>
      </c>
      <c r="F85" s="29">
        <f>SUM(G85:M85)</f>
        <v>140</v>
      </c>
      <c r="G85" s="29">
        <v>20</v>
      </c>
      <c r="H85" s="29">
        <v>20</v>
      </c>
      <c r="I85" s="29">
        <v>20</v>
      </c>
      <c r="J85" s="29">
        <f t="shared" si="26"/>
        <v>20</v>
      </c>
      <c r="K85" s="29">
        <f t="shared" si="27"/>
        <v>20</v>
      </c>
      <c r="L85" s="29">
        <f t="shared" si="27"/>
        <v>20</v>
      </c>
      <c r="M85" s="29">
        <f t="shared" ref="M85" si="29">L85</f>
        <v>20</v>
      </c>
    </row>
    <row r="86" spans="1:13" ht="51" customHeight="1" x14ac:dyDescent="0.25">
      <c r="A86" s="100" t="s">
        <v>113</v>
      </c>
      <c r="B86" s="100" t="s">
        <v>263</v>
      </c>
      <c r="C86" s="100" t="s">
        <v>20</v>
      </c>
      <c r="D86" s="100" t="s">
        <v>20</v>
      </c>
      <c r="E86" s="100" t="s">
        <v>21</v>
      </c>
      <c r="F86" s="106">
        <f>SUM(G86:M87)</f>
        <v>140</v>
      </c>
      <c r="G86" s="106">
        <v>20</v>
      </c>
      <c r="H86" s="106">
        <v>20</v>
      </c>
      <c r="I86" s="106">
        <v>20</v>
      </c>
      <c r="J86" s="106">
        <f t="shared" si="26"/>
        <v>20</v>
      </c>
      <c r="K86" s="106">
        <f t="shared" si="27"/>
        <v>20</v>
      </c>
      <c r="L86" s="106">
        <f t="shared" si="27"/>
        <v>20</v>
      </c>
      <c r="M86" s="106">
        <f>L86</f>
        <v>20</v>
      </c>
    </row>
    <row r="87" spans="1:13" ht="13.5" customHeight="1" thickBot="1" x14ac:dyDescent="0.3">
      <c r="A87" s="102"/>
      <c r="B87" s="102"/>
      <c r="C87" s="102"/>
      <c r="D87" s="102"/>
      <c r="E87" s="102"/>
      <c r="F87" s="107"/>
      <c r="G87" s="107"/>
      <c r="H87" s="107"/>
      <c r="I87" s="107"/>
      <c r="J87" s="107"/>
      <c r="K87" s="107"/>
      <c r="L87" s="107"/>
      <c r="M87" s="107"/>
    </row>
    <row r="88" spans="1:13" ht="45.75" thickBot="1" x14ac:dyDescent="0.3">
      <c r="A88" s="30" t="s">
        <v>114</v>
      </c>
      <c r="B88" s="31" t="s">
        <v>115</v>
      </c>
      <c r="C88" s="31" t="s">
        <v>20</v>
      </c>
      <c r="D88" s="31" t="s">
        <v>20</v>
      </c>
      <c r="E88" s="31" t="s">
        <v>21</v>
      </c>
      <c r="F88" s="29">
        <f>SUM(G88:M88)</f>
        <v>77</v>
      </c>
      <c r="G88" s="29">
        <v>11</v>
      </c>
      <c r="H88" s="29">
        <v>11</v>
      </c>
      <c r="I88" s="29">
        <v>11</v>
      </c>
      <c r="J88" s="29">
        <f t="shared" si="26"/>
        <v>11</v>
      </c>
      <c r="K88" s="29">
        <f t="shared" si="27"/>
        <v>11</v>
      </c>
      <c r="L88" s="29">
        <f t="shared" si="27"/>
        <v>11</v>
      </c>
      <c r="M88" s="29">
        <f>L88</f>
        <v>11</v>
      </c>
    </row>
    <row r="89" spans="1:13" ht="15.75" thickBot="1" x14ac:dyDescent="0.3">
      <c r="A89" s="103" t="s">
        <v>116</v>
      </c>
      <c r="B89" s="104"/>
      <c r="C89" s="104"/>
      <c r="D89" s="104"/>
      <c r="E89" s="31" t="s">
        <v>21</v>
      </c>
      <c r="F89" s="29">
        <f>SUM(G89:M89)</f>
        <v>2002</v>
      </c>
      <c r="G89" s="29">
        <f t="shared" ref="G89:M89" si="30">G79</f>
        <v>286</v>
      </c>
      <c r="H89" s="29">
        <f t="shared" si="30"/>
        <v>286</v>
      </c>
      <c r="I89" s="29">
        <f t="shared" si="30"/>
        <v>286</v>
      </c>
      <c r="J89" s="29">
        <f t="shared" si="30"/>
        <v>286</v>
      </c>
      <c r="K89" s="29">
        <f t="shared" si="30"/>
        <v>286</v>
      </c>
      <c r="L89" s="29">
        <f t="shared" si="30"/>
        <v>286</v>
      </c>
      <c r="M89" s="29">
        <f t="shared" si="30"/>
        <v>286</v>
      </c>
    </row>
    <row r="90" spans="1:13" ht="24" customHeight="1" thickBot="1" x14ac:dyDescent="0.3">
      <c r="A90" s="103" t="s">
        <v>117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5"/>
    </row>
    <row r="91" spans="1:13" ht="42" customHeight="1" x14ac:dyDescent="0.25">
      <c r="A91" s="100" t="s">
        <v>118</v>
      </c>
      <c r="B91" s="100" t="s">
        <v>119</v>
      </c>
      <c r="C91" s="100" t="s">
        <v>20</v>
      </c>
      <c r="D91" s="100" t="s">
        <v>20</v>
      </c>
      <c r="E91" s="100" t="s">
        <v>10</v>
      </c>
      <c r="F91" s="106">
        <f>F95+F107+F110+F113</f>
        <v>4573.3</v>
      </c>
      <c r="G91" s="106">
        <f t="shared" ref="G91:H91" si="31">G95+G107+G110+G113</f>
        <v>4573.3</v>
      </c>
      <c r="H91" s="106">
        <f t="shared" si="31"/>
        <v>0</v>
      </c>
      <c r="I91" s="106">
        <f t="shared" ref="I91" si="32">I95+I107+I110+I113</f>
        <v>0</v>
      </c>
      <c r="J91" s="106">
        <f>I91</f>
        <v>0</v>
      </c>
      <c r="K91" s="106">
        <v>0</v>
      </c>
      <c r="L91" s="106">
        <v>0</v>
      </c>
      <c r="M91" s="106">
        <v>0</v>
      </c>
    </row>
    <row r="92" spans="1:13" ht="15.75" thickBot="1" x14ac:dyDescent="0.3">
      <c r="A92" s="101"/>
      <c r="B92" s="101"/>
      <c r="C92" s="101"/>
      <c r="D92" s="101"/>
      <c r="E92" s="102"/>
      <c r="F92" s="107"/>
      <c r="G92" s="107"/>
      <c r="H92" s="107"/>
      <c r="I92" s="107"/>
      <c r="J92" s="107"/>
      <c r="K92" s="107"/>
      <c r="L92" s="107"/>
      <c r="M92" s="107"/>
    </row>
    <row r="93" spans="1:13" ht="27" customHeight="1" thickBot="1" x14ac:dyDescent="0.3">
      <c r="A93" s="101"/>
      <c r="B93" s="101"/>
      <c r="C93" s="101"/>
      <c r="D93" s="101"/>
      <c r="E93" s="31" t="s">
        <v>93</v>
      </c>
      <c r="F93" s="29">
        <f>F96+F108+F111</f>
        <v>0</v>
      </c>
      <c r="G93" s="29">
        <f t="shared" ref="G93:H93" si="33">G96+G108+G111</f>
        <v>0</v>
      </c>
      <c r="H93" s="29">
        <f t="shared" si="33"/>
        <v>0</v>
      </c>
      <c r="I93" s="29">
        <f t="shared" ref="I93" si="34">I96+I108+I111</f>
        <v>0</v>
      </c>
      <c r="J93" s="29">
        <v>0</v>
      </c>
      <c r="K93" s="29">
        <v>0</v>
      </c>
      <c r="L93" s="29">
        <v>0</v>
      </c>
      <c r="M93" s="29">
        <v>0</v>
      </c>
    </row>
    <row r="94" spans="1:13" ht="15.75" thickBot="1" x14ac:dyDescent="0.3">
      <c r="A94" s="102"/>
      <c r="B94" s="102"/>
      <c r="C94" s="102"/>
      <c r="D94" s="102"/>
      <c r="E94" s="31" t="s">
        <v>21</v>
      </c>
      <c r="F94" s="29">
        <f>F97+F109+F112+F113</f>
        <v>4573.3</v>
      </c>
      <c r="G94" s="29">
        <f t="shared" ref="G94:H94" si="35">G97+G109+G112+G113</f>
        <v>4573.3</v>
      </c>
      <c r="H94" s="29">
        <f t="shared" si="35"/>
        <v>0</v>
      </c>
      <c r="I94" s="29">
        <f t="shared" ref="I94" si="36">I97+I109+I112+I113</f>
        <v>0</v>
      </c>
      <c r="J94" s="29">
        <v>0</v>
      </c>
      <c r="K94" s="29">
        <v>0</v>
      </c>
      <c r="L94" s="29">
        <v>0</v>
      </c>
      <c r="M94" s="29">
        <v>0</v>
      </c>
    </row>
    <row r="95" spans="1:13" ht="19.5" customHeight="1" thickBot="1" x14ac:dyDescent="0.3">
      <c r="A95" s="100" t="s">
        <v>120</v>
      </c>
      <c r="B95" s="100" t="s">
        <v>121</v>
      </c>
      <c r="C95" s="100" t="s">
        <v>20</v>
      </c>
      <c r="D95" s="100" t="s">
        <v>20</v>
      </c>
      <c r="E95" s="31" t="s">
        <v>10</v>
      </c>
      <c r="F95" s="29">
        <f>SUM(G95:M95)</f>
        <v>0</v>
      </c>
      <c r="G95" s="29">
        <f t="shared" ref="G95:H95" si="37">G97+G96</f>
        <v>0</v>
      </c>
      <c r="H95" s="29">
        <f t="shared" si="37"/>
        <v>0</v>
      </c>
      <c r="I95" s="29">
        <f t="shared" ref="I95" si="38">I97+I96</f>
        <v>0</v>
      </c>
      <c r="J95" s="29">
        <v>0</v>
      </c>
      <c r="K95" s="29">
        <v>0</v>
      </c>
      <c r="L95" s="29">
        <v>0</v>
      </c>
      <c r="M95" s="29">
        <v>0</v>
      </c>
    </row>
    <row r="96" spans="1:13" ht="45.75" thickBot="1" x14ac:dyDescent="0.3">
      <c r="A96" s="101"/>
      <c r="B96" s="101"/>
      <c r="C96" s="101"/>
      <c r="D96" s="101"/>
      <c r="E96" s="31" t="s">
        <v>93</v>
      </c>
      <c r="F96" s="29">
        <f>SUM(G96:M96)</f>
        <v>0</v>
      </c>
      <c r="G96" s="29">
        <f>G99+G102+G105</f>
        <v>0</v>
      </c>
      <c r="H96" s="29">
        <f t="shared" ref="H96:H97" si="39">H99+H102+H105</f>
        <v>0</v>
      </c>
      <c r="I96" s="29">
        <f t="shared" ref="I96" si="40">I99+I102+I105</f>
        <v>0</v>
      </c>
      <c r="J96" s="29">
        <v>0</v>
      </c>
      <c r="K96" s="29">
        <v>0</v>
      </c>
      <c r="L96" s="29">
        <v>0</v>
      </c>
      <c r="M96" s="29">
        <v>0</v>
      </c>
    </row>
    <row r="97" spans="1:14" ht="15.75" thickBot="1" x14ac:dyDescent="0.3">
      <c r="A97" s="101"/>
      <c r="B97" s="102"/>
      <c r="C97" s="102"/>
      <c r="D97" s="102"/>
      <c r="E97" s="31" t="s">
        <v>21</v>
      </c>
      <c r="F97" s="29">
        <f>SUM(G97:M97)</f>
        <v>0</v>
      </c>
      <c r="G97" s="29">
        <f>G100+G103+G106</f>
        <v>0</v>
      </c>
      <c r="H97" s="29">
        <f t="shared" si="39"/>
        <v>0</v>
      </c>
      <c r="I97" s="29">
        <f t="shared" ref="I97" si="41">I100+I103+I106</f>
        <v>0</v>
      </c>
      <c r="J97" s="29">
        <v>0</v>
      </c>
      <c r="K97" s="29">
        <v>0</v>
      </c>
      <c r="L97" s="29">
        <v>0</v>
      </c>
      <c r="M97" s="29">
        <v>0</v>
      </c>
    </row>
    <row r="98" spans="1:14" ht="24.75" customHeight="1" thickBot="1" x14ac:dyDescent="0.3">
      <c r="A98" s="101"/>
      <c r="B98" s="100" t="s">
        <v>122</v>
      </c>
      <c r="C98" s="100" t="s">
        <v>20</v>
      </c>
      <c r="D98" s="100" t="s">
        <v>20</v>
      </c>
      <c r="E98" s="31" t="s">
        <v>10</v>
      </c>
      <c r="F98" s="29">
        <f t="shared" ref="F98:F106" si="42">G98+H98+M98</f>
        <v>0</v>
      </c>
      <c r="G98" s="29">
        <f>G99+G100</f>
        <v>0</v>
      </c>
      <c r="H98" s="29">
        <f t="shared" ref="H98" si="43">H99+H100</f>
        <v>0</v>
      </c>
      <c r="I98" s="29">
        <f t="shared" ref="I98" si="44">I99+I100</f>
        <v>0</v>
      </c>
      <c r="J98" s="29">
        <v>0</v>
      </c>
      <c r="K98" s="29">
        <v>0</v>
      </c>
      <c r="L98" s="29">
        <v>0</v>
      </c>
      <c r="M98" s="29">
        <v>0</v>
      </c>
    </row>
    <row r="99" spans="1:14" ht="45.75" thickBot="1" x14ac:dyDescent="0.3">
      <c r="A99" s="101"/>
      <c r="B99" s="101"/>
      <c r="C99" s="101"/>
      <c r="D99" s="101"/>
      <c r="E99" s="31" t="s">
        <v>93</v>
      </c>
      <c r="F99" s="29">
        <f>+F102+F105+F108+F111</f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</row>
    <row r="100" spans="1:14" ht="15.75" thickBot="1" x14ac:dyDescent="0.3">
      <c r="A100" s="101"/>
      <c r="B100" s="102"/>
      <c r="C100" s="102"/>
      <c r="D100" s="102"/>
      <c r="E100" s="31" t="s">
        <v>21</v>
      </c>
      <c r="F100" s="29">
        <f t="shared" si="42"/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</row>
    <row r="101" spans="1:14" ht="26.25" customHeight="1" thickBot="1" x14ac:dyDescent="0.3">
      <c r="A101" s="101"/>
      <c r="B101" s="100" t="s">
        <v>123</v>
      </c>
      <c r="C101" s="100" t="s">
        <v>20</v>
      </c>
      <c r="D101" s="100" t="s">
        <v>20</v>
      </c>
      <c r="E101" s="31" t="s">
        <v>10</v>
      </c>
      <c r="F101" s="29">
        <f t="shared" si="42"/>
        <v>0</v>
      </c>
      <c r="G101" s="29">
        <f>G102+G103</f>
        <v>0</v>
      </c>
      <c r="H101" s="29">
        <f t="shared" ref="H101" si="45">H102+H103</f>
        <v>0</v>
      </c>
      <c r="I101" s="29">
        <f t="shared" ref="I101" si="46">I102+I103</f>
        <v>0</v>
      </c>
      <c r="J101" s="29">
        <v>0</v>
      </c>
      <c r="K101" s="29">
        <v>0</v>
      </c>
      <c r="L101" s="29">
        <v>0</v>
      </c>
      <c r="M101" s="29">
        <v>0</v>
      </c>
    </row>
    <row r="102" spans="1:14" ht="45.75" thickBot="1" x14ac:dyDescent="0.3">
      <c r="A102" s="101"/>
      <c r="B102" s="101"/>
      <c r="C102" s="101"/>
      <c r="D102" s="101"/>
      <c r="E102" s="31" t="s">
        <v>93</v>
      </c>
      <c r="F102" s="29">
        <f t="shared" si="42"/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</row>
    <row r="103" spans="1:14" ht="15.75" thickBot="1" x14ac:dyDescent="0.3">
      <c r="A103" s="101"/>
      <c r="B103" s="102"/>
      <c r="C103" s="102"/>
      <c r="D103" s="102"/>
      <c r="E103" s="31" t="s">
        <v>21</v>
      </c>
      <c r="F103" s="29">
        <f t="shared" si="42"/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</row>
    <row r="104" spans="1:14" ht="21.75" customHeight="1" thickBot="1" x14ac:dyDescent="0.3">
      <c r="A104" s="101"/>
      <c r="B104" s="100" t="s">
        <v>124</v>
      </c>
      <c r="C104" s="100" t="s">
        <v>20</v>
      </c>
      <c r="D104" s="100" t="s">
        <v>20</v>
      </c>
      <c r="E104" s="31" t="s">
        <v>10</v>
      </c>
      <c r="F104" s="29">
        <f t="shared" si="42"/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</row>
    <row r="105" spans="1:14" ht="45.75" thickBot="1" x14ac:dyDescent="0.3">
      <c r="A105" s="101"/>
      <c r="B105" s="101"/>
      <c r="C105" s="101"/>
      <c r="D105" s="101"/>
      <c r="E105" s="31" t="s">
        <v>93</v>
      </c>
      <c r="F105" s="29">
        <f t="shared" si="42"/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</row>
    <row r="106" spans="1:14" ht="15.75" thickBot="1" x14ac:dyDescent="0.3">
      <c r="A106" s="102"/>
      <c r="B106" s="102"/>
      <c r="C106" s="102"/>
      <c r="D106" s="102"/>
      <c r="E106" s="31" t="s">
        <v>21</v>
      </c>
      <c r="F106" s="29">
        <f t="shared" si="42"/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</row>
    <row r="107" spans="1:14" ht="27" customHeight="1" thickBot="1" x14ac:dyDescent="0.3">
      <c r="A107" s="100" t="s">
        <v>125</v>
      </c>
      <c r="B107" s="100" t="s">
        <v>126</v>
      </c>
      <c r="C107" s="100" t="s">
        <v>20</v>
      </c>
      <c r="D107" s="100" t="s">
        <v>20</v>
      </c>
      <c r="E107" s="31" t="s">
        <v>10</v>
      </c>
      <c r="F107" s="29">
        <f>SUM(G107:M107)</f>
        <v>0</v>
      </c>
      <c r="G107" s="29">
        <f>G108+G109</f>
        <v>0</v>
      </c>
      <c r="H107" s="29">
        <f t="shared" ref="H107" si="47">H108+H109</f>
        <v>0</v>
      </c>
      <c r="I107" s="29">
        <f t="shared" ref="I107" si="48">I108+I109</f>
        <v>0</v>
      </c>
      <c r="J107" s="29">
        <v>0</v>
      </c>
      <c r="K107" s="29">
        <v>0</v>
      </c>
      <c r="L107" s="29">
        <v>0</v>
      </c>
      <c r="M107" s="29">
        <v>0</v>
      </c>
    </row>
    <row r="108" spans="1:14" ht="45.75" thickBot="1" x14ac:dyDescent="0.3">
      <c r="A108" s="101"/>
      <c r="B108" s="101"/>
      <c r="C108" s="101"/>
      <c r="D108" s="101"/>
      <c r="E108" s="31" t="s">
        <v>93</v>
      </c>
      <c r="F108" s="29">
        <f t="shared" ref="F108:F109" si="49">SUM(G108:M108)</f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</row>
    <row r="109" spans="1:14" ht="15.75" thickBot="1" x14ac:dyDescent="0.3">
      <c r="A109" s="102"/>
      <c r="B109" s="102"/>
      <c r="C109" s="102"/>
      <c r="D109" s="102"/>
      <c r="E109" s="31" t="s">
        <v>21</v>
      </c>
      <c r="F109" s="29">
        <f t="shared" si="49"/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</row>
    <row r="110" spans="1:14" ht="26.25" customHeight="1" thickBot="1" x14ac:dyDescent="0.3">
      <c r="A110" s="100" t="s">
        <v>127</v>
      </c>
      <c r="B110" s="100" t="s">
        <v>270</v>
      </c>
      <c r="C110" s="100" t="s">
        <v>20</v>
      </c>
      <c r="D110" s="100" t="s">
        <v>20</v>
      </c>
      <c r="E110" s="31" t="s">
        <v>10</v>
      </c>
      <c r="F110" s="29">
        <f>G110+H110+M110</f>
        <v>4573.3</v>
      </c>
      <c r="G110" s="29">
        <f>G111+G112</f>
        <v>4573.3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</row>
    <row r="111" spans="1:14" ht="45.75" thickBot="1" x14ac:dyDescent="0.3">
      <c r="A111" s="101"/>
      <c r="B111" s="101"/>
      <c r="C111" s="101"/>
      <c r="D111" s="101"/>
      <c r="E111" s="31" t="s">
        <v>93</v>
      </c>
      <c r="F111" s="29">
        <f t="shared" ref="F111:F112" si="50">G111+H111+M111</f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</row>
    <row r="112" spans="1:14" ht="15.75" thickBot="1" x14ac:dyDescent="0.3">
      <c r="A112" s="102"/>
      <c r="B112" s="102"/>
      <c r="C112" s="102"/>
      <c r="D112" s="102"/>
      <c r="E112" s="31" t="s">
        <v>21</v>
      </c>
      <c r="F112" s="29">
        <f t="shared" si="50"/>
        <v>4573.3</v>
      </c>
      <c r="G112" s="29">
        <f>3600+973.3</f>
        <v>4573.3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16" t="s">
        <v>323</v>
      </c>
    </row>
    <row r="113" spans="1:14" ht="120.75" thickBot="1" x14ac:dyDescent="0.3">
      <c r="A113" s="30" t="s">
        <v>128</v>
      </c>
      <c r="B113" s="31" t="s">
        <v>269</v>
      </c>
      <c r="C113" s="31" t="s">
        <v>20</v>
      </c>
      <c r="D113" s="31" t="s">
        <v>20</v>
      </c>
      <c r="E113" s="31" t="s">
        <v>21</v>
      </c>
      <c r="F113" s="29">
        <f>SUM(G113:M113)</f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16" t="s">
        <v>332</v>
      </c>
    </row>
    <row r="114" spans="1:14" ht="21" customHeight="1" thickBot="1" x14ac:dyDescent="0.3">
      <c r="A114" s="100" t="s">
        <v>129</v>
      </c>
      <c r="B114" s="100" t="s">
        <v>130</v>
      </c>
      <c r="C114" s="100" t="s">
        <v>20</v>
      </c>
      <c r="D114" s="100" t="s">
        <v>20</v>
      </c>
      <c r="E114" s="31" t="s">
        <v>10</v>
      </c>
      <c r="F114" s="29">
        <f>F115+F116</f>
        <v>0</v>
      </c>
      <c r="G114" s="29">
        <f t="shared" ref="G114:H114" si="51">G115+G116</f>
        <v>0</v>
      </c>
      <c r="H114" s="29">
        <f t="shared" si="51"/>
        <v>0</v>
      </c>
      <c r="I114" s="29">
        <f t="shared" ref="I114" si="52">I115+I116</f>
        <v>0</v>
      </c>
      <c r="J114" s="29">
        <v>0</v>
      </c>
      <c r="K114" s="29">
        <v>0</v>
      </c>
      <c r="L114" s="29">
        <v>0</v>
      </c>
      <c r="M114" s="29">
        <v>0</v>
      </c>
    </row>
    <row r="115" spans="1:14" ht="45.75" thickBot="1" x14ac:dyDescent="0.3">
      <c r="A115" s="101"/>
      <c r="B115" s="101"/>
      <c r="C115" s="101"/>
      <c r="D115" s="101"/>
      <c r="E115" s="31" t="s">
        <v>93</v>
      </c>
      <c r="F115" s="29">
        <f>SUM(G115:M115)</f>
        <v>0</v>
      </c>
      <c r="G115" s="29">
        <f>G118</f>
        <v>0</v>
      </c>
      <c r="H115" s="29">
        <f t="shared" ref="H115" si="53">H118</f>
        <v>0</v>
      </c>
      <c r="I115" s="29">
        <f t="shared" ref="I115" si="54">I118</f>
        <v>0</v>
      </c>
      <c r="J115" s="29">
        <v>0</v>
      </c>
      <c r="K115" s="29">
        <v>0</v>
      </c>
      <c r="L115" s="29">
        <v>0</v>
      </c>
      <c r="M115" s="29">
        <v>0</v>
      </c>
    </row>
    <row r="116" spans="1:14" ht="15.75" thickBot="1" x14ac:dyDescent="0.3">
      <c r="A116" s="102"/>
      <c r="B116" s="102"/>
      <c r="C116" s="102"/>
      <c r="D116" s="102"/>
      <c r="E116" s="31" t="s">
        <v>21</v>
      </c>
      <c r="F116" s="29">
        <f>SUM(G116:M116)</f>
        <v>0</v>
      </c>
      <c r="G116" s="29">
        <v>0</v>
      </c>
      <c r="H116" s="29">
        <f t="shared" ref="H116" si="55">H120</f>
        <v>0</v>
      </c>
      <c r="I116" s="29">
        <f t="shared" ref="I116" si="56">I120</f>
        <v>0</v>
      </c>
      <c r="J116" s="29">
        <v>0</v>
      </c>
      <c r="K116" s="29">
        <v>0</v>
      </c>
      <c r="L116" s="29">
        <v>0</v>
      </c>
      <c r="M116" s="29">
        <v>0</v>
      </c>
    </row>
    <row r="117" spans="1:14" ht="110.25" customHeight="1" thickBot="1" x14ac:dyDescent="0.3">
      <c r="A117" s="100" t="s">
        <v>131</v>
      </c>
      <c r="B117" s="100" t="s">
        <v>132</v>
      </c>
      <c r="C117" s="100" t="s">
        <v>20</v>
      </c>
      <c r="D117" s="100" t="s">
        <v>20</v>
      </c>
      <c r="E117" s="31" t="s">
        <v>10</v>
      </c>
      <c r="F117" s="29">
        <f t="shared" ref="F117:F120" si="57">G117+H117+M117</f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</row>
    <row r="118" spans="1:14" ht="45.75" thickBot="1" x14ac:dyDescent="0.3">
      <c r="A118" s="101"/>
      <c r="B118" s="101"/>
      <c r="C118" s="101"/>
      <c r="D118" s="101"/>
      <c r="E118" s="31" t="s">
        <v>93</v>
      </c>
      <c r="F118" s="29">
        <f t="shared" si="57"/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</row>
    <row r="119" spans="1:14" ht="30.75" thickBot="1" x14ac:dyDescent="0.3">
      <c r="A119" s="102"/>
      <c r="B119" s="102"/>
      <c r="C119" s="102"/>
      <c r="D119" s="102"/>
      <c r="E119" s="31" t="s">
        <v>133</v>
      </c>
      <c r="F119" s="29">
        <f t="shared" si="57"/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</row>
    <row r="120" spans="1:14" ht="127.5" customHeight="1" thickBot="1" x14ac:dyDescent="0.3">
      <c r="A120" s="30" t="s">
        <v>134</v>
      </c>
      <c r="B120" s="31" t="s">
        <v>135</v>
      </c>
      <c r="C120" s="31" t="s">
        <v>20</v>
      </c>
      <c r="D120" s="31" t="s">
        <v>20</v>
      </c>
      <c r="E120" s="31" t="s">
        <v>21</v>
      </c>
      <c r="F120" s="29">
        <f t="shared" si="57"/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</row>
    <row r="121" spans="1:14" ht="24.75" customHeight="1" thickBot="1" x14ac:dyDescent="0.3">
      <c r="A121" s="100" t="s">
        <v>136</v>
      </c>
      <c r="B121" s="100" t="s">
        <v>137</v>
      </c>
      <c r="C121" s="100" t="s">
        <v>20</v>
      </c>
      <c r="D121" s="100" t="s">
        <v>20</v>
      </c>
      <c r="E121" s="31" t="s">
        <v>10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</row>
    <row r="122" spans="1:14" ht="45.75" thickBot="1" x14ac:dyDescent="0.3">
      <c r="A122" s="101"/>
      <c r="B122" s="101"/>
      <c r="C122" s="101"/>
      <c r="D122" s="101"/>
      <c r="E122" s="31" t="s">
        <v>93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</row>
    <row r="123" spans="1:14" ht="15.75" thickBot="1" x14ac:dyDescent="0.3">
      <c r="A123" s="101"/>
      <c r="B123" s="101"/>
      <c r="C123" s="101"/>
      <c r="D123" s="101"/>
      <c r="E123" s="31" t="s">
        <v>21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</row>
    <row r="124" spans="1:14" ht="30.75" thickBot="1" x14ac:dyDescent="0.3">
      <c r="A124" s="102"/>
      <c r="B124" s="102"/>
      <c r="C124" s="102"/>
      <c r="D124" s="102"/>
      <c r="E124" s="31" t="s">
        <v>133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</row>
    <row r="125" spans="1:14" ht="127.5" customHeight="1" thickBot="1" x14ac:dyDescent="0.3">
      <c r="A125" s="30" t="s">
        <v>138</v>
      </c>
      <c r="B125" s="31" t="s">
        <v>139</v>
      </c>
      <c r="C125" s="31" t="s">
        <v>20</v>
      </c>
      <c r="D125" s="31" t="s">
        <v>20</v>
      </c>
      <c r="E125" s="31" t="s">
        <v>21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</row>
    <row r="126" spans="1:14" ht="57.75" customHeight="1" thickBot="1" x14ac:dyDescent="0.3">
      <c r="A126" s="44" t="s">
        <v>140</v>
      </c>
      <c r="B126" s="31" t="s">
        <v>141</v>
      </c>
      <c r="C126" s="31" t="s">
        <v>20</v>
      </c>
      <c r="D126" s="31" t="s">
        <v>20</v>
      </c>
      <c r="E126" s="31" t="s">
        <v>21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</row>
    <row r="127" spans="1:14" ht="32.25" customHeight="1" thickBot="1" x14ac:dyDescent="0.3">
      <c r="A127" s="100" t="s">
        <v>142</v>
      </c>
      <c r="B127" s="100" t="s">
        <v>143</v>
      </c>
      <c r="C127" s="100" t="s">
        <v>20</v>
      </c>
      <c r="D127" s="100" t="s">
        <v>20</v>
      </c>
      <c r="E127" s="31" t="s">
        <v>10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</row>
    <row r="128" spans="1:14" ht="45.75" thickBot="1" x14ac:dyDescent="0.3">
      <c r="A128" s="101"/>
      <c r="B128" s="101"/>
      <c r="C128" s="101"/>
      <c r="D128" s="101"/>
      <c r="E128" s="31" t="s">
        <v>93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</row>
    <row r="129" spans="1:14" ht="15.75" thickBot="1" x14ac:dyDescent="0.3">
      <c r="A129" s="101"/>
      <c r="B129" s="101"/>
      <c r="C129" s="101"/>
      <c r="D129" s="101"/>
      <c r="E129" s="31" t="s">
        <v>21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</row>
    <row r="130" spans="1:14" ht="30.75" thickBot="1" x14ac:dyDescent="0.3">
      <c r="A130" s="102"/>
      <c r="B130" s="102"/>
      <c r="C130" s="102"/>
      <c r="D130" s="102"/>
      <c r="E130" s="31" t="s">
        <v>133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</row>
    <row r="131" spans="1:14" ht="105.75" thickBot="1" x14ac:dyDescent="0.3">
      <c r="A131" s="30" t="s">
        <v>144</v>
      </c>
      <c r="B131" s="31" t="s">
        <v>145</v>
      </c>
      <c r="C131" s="31" t="s">
        <v>20</v>
      </c>
      <c r="D131" s="31" t="s">
        <v>20</v>
      </c>
      <c r="E131" s="31" t="s">
        <v>21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</row>
    <row r="132" spans="1:14" ht="60.75" customHeight="1" thickBot="1" x14ac:dyDescent="0.3">
      <c r="A132" s="30" t="s">
        <v>146</v>
      </c>
      <c r="B132" s="31" t="s">
        <v>147</v>
      </c>
      <c r="C132" s="31" t="s">
        <v>20</v>
      </c>
      <c r="D132" s="31" t="s">
        <v>20</v>
      </c>
      <c r="E132" s="31" t="s">
        <v>93</v>
      </c>
      <c r="F132" s="29">
        <f>SUM(G132:M132)</f>
        <v>19337.2</v>
      </c>
      <c r="G132" s="29">
        <v>1164</v>
      </c>
      <c r="H132" s="29">
        <v>2880</v>
      </c>
      <c r="I132" s="29">
        <v>2880</v>
      </c>
      <c r="J132" s="29">
        <v>2880</v>
      </c>
      <c r="K132" s="29">
        <v>3024</v>
      </c>
      <c r="L132" s="29">
        <v>3175.2</v>
      </c>
      <c r="M132" s="29">
        <v>3334</v>
      </c>
      <c r="N132" s="16" t="s">
        <v>318</v>
      </c>
    </row>
    <row r="133" spans="1:14" ht="45.75" thickBot="1" x14ac:dyDescent="0.3">
      <c r="A133" s="30" t="s">
        <v>148</v>
      </c>
      <c r="B133" s="31" t="s">
        <v>141</v>
      </c>
      <c r="C133" s="31" t="s">
        <v>20</v>
      </c>
      <c r="D133" s="31" t="s">
        <v>20</v>
      </c>
      <c r="E133" s="31" t="s">
        <v>93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</row>
    <row r="134" spans="1:14" ht="60.75" thickBot="1" x14ac:dyDescent="0.3">
      <c r="A134" s="30" t="s">
        <v>149</v>
      </c>
      <c r="B134" s="31" t="s">
        <v>341</v>
      </c>
      <c r="C134" s="31" t="s">
        <v>20</v>
      </c>
      <c r="D134" s="31" t="s">
        <v>20</v>
      </c>
      <c r="E134" s="31" t="s">
        <v>21</v>
      </c>
      <c r="F134" s="29">
        <v>0</v>
      </c>
      <c r="G134" s="29">
        <v>0</v>
      </c>
      <c r="H134" s="29">
        <v>9222.2000000000007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45">
        <v>37439</v>
      </c>
    </row>
    <row r="135" spans="1:14" ht="60.75" thickBot="1" x14ac:dyDescent="0.3">
      <c r="A135" s="30" t="s">
        <v>150</v>
      </c>
      <c r="B135" s="31" t="s">
        <v>268</v>
      </c>
      <c r="C135" s="31" t="s">
        <v>20</v>
      </c>
      <c r="D135" s="31" t="s">
        <v>20</v>
      </c>
      <c r="E135" s="31" t="s">
        <v>21</v>
      </c>
      <c r="F135" s="29">
        <f>SUM(G135:M135)</f>
        <v>47704.868300000002</v>
      </c>
      <c r="G135" s="29">
        <v>47704.868300000002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16" t="s">
        <v>329</v>
      </c>
    </row>
    <row r="136" spans="1:14" ht="15.75" thickBot="1" x14ac:dyDescent="0.3">
      <c r="A136" s="108" t="s">
        <v>151</v>
      </c>
      <c r="B136" s="109"/>
      <c r="C136" s="109"/>
      <c r="D136" s="110"/>
      <c r="E136" s="31" t="s">
        <v>10</v>
      </c>
      <c r="F136" s="29">
        <f>F137+F138</f>
        <v>80837.568299999999</v>
      </c>
      <c r="G136" s="29">
        <f t="shared" ref="G136:M136" si="58">G137+G138</f>
        <v>53442.168300000005</v>
      </c>
      <c r="H136" s="29">
        <f t="shared" si="58"/>
        <v>12102.2</v>
      </c>
      <c r="I136" s="29">
        <f t="shared" si="58"/>
        <v>2880</v>
      </c>
      <c r="J136" s="29">
        <f t="shared" si="58"/>
        <v>2880</v>
      </c>
      <c r="K136" s="29">
        <f t="shared" si="58"/>
        <v>3024</v>
      </c>
      <c r="L136" s="29">
        <f t="shared" si="58"/>
        <v>3175.2</v>
      </c>
      <c r="M136" s="29">
        <f t="shared" si="58"/>
        <v>3334</v>
      </c>
    </row>
    <row r="137" spans="1:14" ht="45.75" thickBot="1" x14ac:dyDescent="0.3">
      <c r="A137" s="111"/>
      <c r="B137" s="112"/>
      <c r="C137" s="112"/>
      <c r="D137" s="113"/>
      <c r="E137" s="31" t="s">
        <v>93</v>
      </c>
      <c r="F137" s="29">
        <f>SUM(G137:M137)</f>
        <v>19337.2</v>
      </c>
      <c r="G137" s="29">
        <f t="shared" ref="G137:M137" si="59">G93+G115+G122+G132</f>
        <v>1164</v>
      </c>
      <c r="H137" s="29">
        <f t="shared" si="59"/>
        <v>2880</v>
      </c>
      <c r="I137" s="29">
        <f t="shared" si="59"/>
        <v>2880</v>
      </c>
      <c r="J137" s="29">
        <f t="shared" si="59"/>
        <v>2880</v>
      </c>
      <c r="K137" s="29">
        <f t="shared" si="59"/>
        <v>3024</v>
      </c>
      <c r="L137" s="29">
        <f t="shared" si="59"/>
        <v>3175.2</v>
      </c>
      <c r="M137" s="29">
        <f t="shared" si="59"/>
        <v>3334</v>
      </c>
    </row>
    <row r="138" spans="1:14" ht="15.75" thickBot="1" x14ac:dyDescent="0.3">
      <c r="A138" s="114"/>
      <c r="B138" s="115"/>
      <c r="C138" s="115"/>
      <c r="D138" s="116"/>
      <c r="E138" s="31" t="s">
        <v>21</v>
      </c>
      <c r="F138" s="29">
        <f>SUM(G138:M138)</f>
        <v>61500.368300000002</v>
      </c>
      <c r="G138" s="29">
        <f t="shared" ref="G138:M138" si="60">G94+G116+G123+G134+G135</f>
        <v>52278.168300000005</v>
      </c>
      <c r="H138" s="29">
        <f t="shared" si="60"/>
        <v>9222.2000000000007</v>
      </c>
      <c r="I138" s="29">
        <f t="shared" si="60"/>
        <v>0</v>
      </c>
      <c r="J138" s="29">
        <f t="shared" si="60"/>
        <v>0</v>
      </c>
      <c r="K138" s="29">
        <f t="shared" si="60"/>
        <v>0</v>
      </c>
      <c r="L138" s="29">
        <f t="shared" si="60"/>
        <v>0</v>
      </c>
      <c r="M138" s="29">
        <f t="shared" si="60"/>
        <v>0</v>
      </c>
    </row>
    <row r="139" spans="1:14" ht="15.75" thickBot="1" x14ac:dyDescent="0.3">
      <c r="A139" s="103" t="s">
        <v>152</v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5"/>
    </row>
    <row r="140" spans="1:14" ht="60.75" thickBot="1" x14ac:dyDescent="0.3">
      <c r="A140" s="30" t="s">
        <v>153</v>
      </c>
      <c r="B140" s="31" t="s">
        <v>154</v>
      </c>
      <c r="C140" s="31" t="s">
        <v>20</v>
      </c>
      <c r="D140" s="31" t="s">
        <v>20</v>
      </c>
      <c r="E140" s="31" t="s">
        <v>21</v>
      </c>
      <c r="F140" s="29">
        <f>SUM(G140:M140)</f>
        <v>123597.59999999999</v>
      </c>
      <c r="G140" s="29">
        <v>24988.6</v>
      </c>
      <c r="H140" s="29">
        <v>16988.599999999999</v>
      </c>
      <c r="I140" s="29">
        <v>16554</v>
      </c>
      <c r="J140" s="29">
        <v>16554</v>
      </c>
      <c r="K140" s="29">
        <v>15388</v>
      </c>
      <c r="L140" s="29">
        <v>16158.2</v>
      </c>
      <c r="M140" s="29">
        <v>16966.2</v>
      </c>
      <c r="N140" s="16" t="s">
        <v>322</v>
      </c>
    </row>
    <row r="141" spans="1:14" ht="31.5" customHeight="1" thickBot="1" x14ac:dyDescent="0.3">
      <c r="A141" s="100" t="s">
        <v>155</v>
      </c>
      <c r="B141" s="100" t="s">
        <v>156</v>
      </c>
      <c r="C141" s="100" t="s">
        <v>20</v>
      </c>
      <c r="D141" s="100" t="s">
        <v>20</v>
      </c>
      <c r="E141" s="31" t="s">
        <v>10</v>
      </c>
      <c r="F141" s="29">
        <f t="shared" ref="F141:F153" si="61">G141+H141+M141</f>
        <v>0</v>
      </c>
      <c r="G141" s="29">
        <f>G142</f>
        <v>0</v>
      </c>
      <c r="H141" s="29">
        <f t="shared" ref="H141:I141" si="62">H142</f>
        <v>0</v>
      </c>
      <c r="I141" s="29">
        <f t="shared" si="62"/>
        <v>0</v>
      </c>
      <c r="J141" s="29">
        <v>0</v>
      </c>
      <c r="K141" s="29">
        <v>0</v>
      </c>
      <c r="L141" s="29">
        <v>0</v>
      </c>
      <c r="M141" s="29">
        <v>0</v>
      </c>
    </row>
    <row r="142" spans="1:14" ht="45.75" thickBot="1" x14ac:dyDescent="0.3">
      <c r="A142" s="102"/>
      <c r="B142" s="102"/>
      <c r="C142" s="102"/>
      <c r="D142" s="102"/>
      <c r="E142" s="31" t="s">
        <v>93</v>
      </c>
      <c r="F142" s="29">
        <f t="shared" si="61"/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</row>
    <row r="143" spans="1:14" ht="21" customHeight="1" thickBot="1" x14ac:dyDescent="0.3">
      <c r="A143" s="100" t="s">
        <v>157</v>
      </c>
      <c r="B143" s="100" t="s">
        <v>158</v>
      </c>
      <c r="C143" s="100" t="s">
        <v>20</v>
      </c>
      <c r="D143" s="100" t="s">
        <v>20</v>
      </c>
      <c r="E143" s="31" t="s">
        <v>10</v>
      </c>
      <c r="F143" s="29">
        <f t="shared" si="61"/>
        <v>0</v>
      </c>
      <c r="G143" s="29">
        <f>G144</f>
        <v>0</v>
      </c>
      <c r="H143" s="29">
        <f t="shared" ref="H143:I143" si="63">H144</f>
        <v>0</v>
      </c>
      <c r="I143" s="29">
        <f t="shared" si="63"/>
        <v>0</v>
      </c>
      <c r="J143" s="29">
        <v>0</v>
      </c>
      <c r="K143" s="29">
        <v>0</v>
      </c>
      <c r="L143" s="29">
        <v>0</v>
      </c>
      <c r="M143" s="29">
        <v>0</v>
      </c>
    </row>
    <row r="144" spans="1:14" ht="45.75" thickBot="1" x14ac:dyDescent="0.3">
      <c r="A144" s="102"/>
      <c r="B144" s="102"/>
      <c r="C144" s="102"/>
      <c r="D144" s="102"/>
      <c r="E144" s="31" t="s">
        <v>93</v>
      </c>
      <c r="F144" s="29">
        <f t="shared" si="61"/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</row>
    <row r="145" spans="1:14" ht="21" customHeight="1" thickBot="1" x14ac:dyDescent="0.3">
      <c r="A145" s="100" t="s">
        <v>159</v>
      </c>
      <c r="B145" s="100" t="s">
        <v>160</v>
      </c>
      <c r="C145" s="100" t="s">
        <v>20</v>
      </c>
      <c r="D145" s="100" t="s">
        <v>20</v>
      </c>
      <c r="E145" s="31" t="s">
        <v>10</v>
      </c>
      <c r="F145" s="29">
        <f t="shared" si="61"/>
        <v>0</v>
      </c>
      <c r="G145" s="29">
        <f>G146+G147</f>
        <v>0</v>
      </c>
      <c r="H145" s="29">
        <f t="shared" ref="H145" si="64">H146+H147</f>
        <v>0</v>
      </c>
      <c r="I145" s="29">
        <f t="shared" ref="I145" si="65">I146+I147</f>
        <v>0</v>
      </c>
      <c r="J145" s="29">
        <v>0</v>
      </c>
      <c r="K145" s="29">
        <v>0</v>
      </c>
      <c r="L145" s="29">
        <v>0</v>
      </c>
      <c r="M145" s="29">
        <v>0</v>
      </c>
    </row>
    <row r="146" spans="1:14" ht="30.75" thickBot="1" x14ac:dyDescent="0.3">
      <c r="A146" s="101"/>
      <c r="B146" s="101"/>
      <c r="C146" s="101"/>
      <c r="D146" s="101"/>
      <c r="E146" s="31" t="s">
        <v>133</v>
      </c>
      <c r="F146" s="29">
        <f t="shared" si="61"/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</row>
    <row r="147" spans="1:14" ht="45.75" thickBot="1" x14ac:dyDescent="0.3">
      <c r="A147" s="102"/>
      <c r="B147" s="102"/>
      <c r="C147" s="102"/>
      <c r="D147" s="102"/>
      <c r="E147" s="31" t="s">
        <v>93</v>
      </c>
      <c r="F147" s="29">
        <f t="shared" si="61"/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</row>
    <row r="148" spans="1:14" ht="17.25" customHeight="1" thickBot="1" x14ac:dyDescent="0.3">
      <c r="A148" s="100" t="s">
        <v>161</v>
      </c>
      <c r="B148" s="100" t="s">
        <v>162</v>
      </c>
      <c r="C148" s="100" t="s">
        <v>20</v>
      </c>
      <c r="D148" s="100" t="s">
        <v>20</v>
      </c>
      <c r="E148" s="31" t="s">
        <v>10</v>
      </c>
      <c r="F148" s="29">
        <f t="shared" si="61"/>
        <v>0</v>
      </c>
      <c r="G148" s="29">
        <f>G149</f>
        <v>0</v>
      </c>
      <c r="H148" s="29">
        <f t="shared" ref="H148:I148" si="66">H149</f>
        <v>0</v>
      </c>
      <c r="I148" s="29">
        <f t="shared" si="66"/>
        <v>0</v>
      </c>
      <c r="J148" s="29">
        <v>0</v>
      </c>
      <c r="K148" s="29">
        <v>0</v>
      </c>
      <c r="L148" s="29">
        <v>0</v>
      </c>
      <c r="M148" s="29">
        <v>0</v>
      </c>
    </row>
    <row r="149" spans="1:14" ht="45.75" thickBot="1" x14ac:dyDescent="0.3">
      <c r="A149" s="102"/>
      <c r="B149" s="102"/>
      <c r="C149" s="102"/>
      <c r="D149" s="102"/>
      <c r="E149" s="31" t="s">
        <v>93</v>
      </c>
      <c r="F149" s="29">
        <f t="shared" si="61"/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</row>
    <row r="150" spans="1:14" ht="15" customHeight="1" thickBot="1" x14ac:dyDescent="0.3">
      <c r="A150" s="100" t="s">
        <v>163</v>
      </c>
      <c r="B150" s="100" t="s">
        <v>164</v>
      </c>
      <c r="C150" s="100" t="s">
        <v>20</v>
      </c>
      <c r="D150" s="100" t="s">
        <v>20</v>
      </c>
      <c r="E150" s="31" t="s">
        <v>10</v>
      </c>
      <c r="F150" s="29">
        <f t="shared" si="61"/>
        <v>0</v>
      </c>
      <c r="G150" s="29">
        <f>G151</f>
        <v>0</v>
      </c>
      <c r="H150" s="29">
        <f t="shared" ref="H150:I150" si="67">H151</f>
        <v>0</v>
      </c>
      <c r="I150" s="29">
        <f t="shared" si="67"/>
        <v>0</v>
      </c>
      <c r="J150" s="29">
        <v>0</v>
      </c>
      <c r="K150" s="29">
        <v>0</v>
      </c>
      <c r="L150" s="29">
        <v>0</v>
      </c>
      <c r="M150" s="29">
        <v>0</v>
      </c>
    </row>
    <row r="151" spans="1:14" ht="45.75" thickBot="1" x14ac:dyDescent="0.3">
      <c r="A151" s="102"/>
      <c r="B151" s="102"/>
      <c r="C151" s="102"/>
      <c r="D151" s="102"/>
      <c r="E151" s="31" t="s">
        <v>93</v>
      </c>
      <c r="F151" s="29">
        <f t="shared" si="61"/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</row>
    <row r="152" spans="1:14" ht="24.75" customHeight="1" thickBot="1" x14ac:dyDescent="0.3">
      <c r="A152" s="100" t="s">
        <v>165</v>
      </c>
      <c r="B152" s="100" t="s">
        <v>166</v>
      </c>
      <c r="C152" s="100" t="s">
        <v>20</v>
      </c>
      <c r="D152" s="100" t="s">
        <v>20</v>
      </c>
      <c r="E152" s="31" t="s">
        <v>10</v>
      </c>
      <c r="F152" s="29">
        <f t="shared" si="61"/>
        <v>0</v>
      </c>
      <c r="G152" s="29">
        <f>G153</f>
        <v>0</v>
      </c>
      <c r="H152" s="29">
        <f t="shared" ref="H152:I152" si="68">H153</f>
        <v>0</v>
      </c>
      <c r="I152" s="29">
        <f t="shared" si="68"/>
        <v>0</v>
      </c>
      <c r="J152" s="29">
        <v>0</v>
      </c>
      <c r="K152" s="29">
        <v>0</v>
      </c>
      <c r="L152" s="29">
        <v>0</v>
      </c>
      <c r="M152" s="29">
        <v>0</v>
      </c>
    </row>
    <row r="153" spans="1:14" ht="45.75" thickBot="1" x14ac:dyDescent="0.3">
      <c r="A153" s="102"/>
      <c r="B153" s="102"/>
      <c r="C153" s="102"/>
      <c r="D153" s="102"/>
      <c r="E153" s="31" t="s">
        <v>93</v>
      </c>
      <c r="F153" s="29">
        <f t="shared" si="61"/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</row>
    <row r="154" spans="1:14" ht="15.75" thickBot="1" x14ac:dyDescent="0.3">
      <c r="A154" s="103" t="s">
        <v>167</v>
      </c>
      <c r="B154" s="104"/>
      <c r="C154" s="104"/>
      <c r="D154" s="105"/>
      <c r="E154" s="31" t="s">
        <v>21</v>
      </c>
      <c r="F154" s="29">
        <f>SUM(G154:M154)</f>
        <v>123597.59999999999</v>
      </c>
      <c r="G154" s="29">
        <f>G140</f>
        <v>24988.6</v>
      </c>
      <c r="H154" s="29">
        <f t="shared" ref="H154:M154" si="69">H140</f>
        <v>16988.599999999999</v>
      </c>
      <c r="I154" s="29">
        <f t="shared" si="69"/>
        <v>16554</v>
      </c>
      <c r="J154" s="29">
        <f t="shared" si="69"/>
        <v>16554</v>
      </c>
      <c r="K154" s="29">
        <f t="shared" si="69"/>
        <v>15388</v>
      </c>
      <c r="L154" s="29">
        <f t="shared" si="69"/>
        <v>16158.2</v>
      </c>
      <c r="M154" s="29">
        <f t="shared" si="69"/>
        <v>16966.2</v>
      </c>
    </row>
    <row r="155" spans="1:14" ht="22.5" customHeight="1" thickBot="1" x14ac:dyDescent="0.3">
      <c r="A155" s="103" t="s">
        <v>168</v>
      </c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5"/>
    </row>
    <row r="156" spans="1:14" ht="58.5" customHeight="1" thickBot="1" x14ac:dyDescent="0.3">
      <c r="A156" s="100" t="s">
        <v>169</v>
      </c>
      <c r="B156" s="100" t="s">
        <v>170</v>
      </c>
      <c r="C156" s="46" t="s">
        <v>171</v>
      </c>
      <c r="D156" s="46" t="s">
        <v>171</v>
      </c>
      <c r="E156" s="31" t="s">
        <v>21</v>
      </c>
      <c r="F156" s="29">
        <f>SUM(G156:M156)</f>
        <v>386636.68816000008</v>
      </c>
      <c r="G156" s="29">
        <v>31574.439160000002</v>
      </c>
      <c r="H156" s="29">
        <v>82679.100000000006</v>
      </c>
      <c r="I156" s="29">
        <f>56444.785+1682.4</f>
        <v>58127.185000000005</v>
      </c>
      <c r="J156" s="29">
        <f>56530.364+1682.4</f>
        <v>58212.764000000003</v>
      </c>
      <c r="K156" s="29">
        <v>52014.400000000001</v>
      </c>
      <c r="L156" s="29">
        <v>52014.400000000001</v>
      </c>
      <c r="M156" s="29">
        <v>52014.400000000001</v>
      </c>
    </row>
    <row r="157" spans="1:14" ht="58.5" customHeight="1" thickBot="1" x14ac:dyDescent="0.3">
      <c r="A157" s="101"/>
      <c r="B157" s="101"/>
      <c r="C157" s="100" t="s">
        <v>20</v>
      </c>
      <c r="D157" s="100" t="s">
        <v>20</v>
      </c>
      <c r="E157" s="31" t="s">
        <v>93</v>
      </c>
      <c r="F157" s="29">
        <f>SUM(G157:M157)</f>
        <v>3598.6095999999998</v>
      </c>
      <c r="G157" s="29">
        <f>2200+1398.6096</f>
        <v>3598.6095999999998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16" t="s">
        <v>334</v>
      </c>
    </row>
    <row r="158" spans="1:14" ht="58.5" customHeight="1" thickBot="1" x14ac:dyDescent="0.3">
      <c r="A158" s="101"/>
      <c r="B158" s="101"/>
      <c r="C158" s="102"/>
      <c r="D158" s="102"/>
      <c r="E158" s="31" t="s">
        <v>21</v>
      </c>
      <c r="F158" s="29">
        <f>SUM(G158:M158)</f>
        <v>0</v>
      </c>
      <c r="G158" s="29">
        <v>0</v>
      </c>
      <c r="H158" s="29"/>
      <c r="I158" s="29"/>
      <c r="J158" s="29"/>
      <c r="K158" s="29"/>
      <c r="L158" s="29"/>
      <c r="M158" s="29"/>
    </row>
    <row r="159" spans="1:14" ht="26.25" customHeight="1" thickBot="1" x14ac:dyDescent="0.3">
      <c r="A159" s="100" t="s">
        <v>172</v>
      </c>
      <c r="B159" s="100" t="s">
        <v>173</v>
      </c>
      <c r="C159" s="100" t="s">
        <v>174</v>
      </c>
      <c r="D159" s="100" t="s">
        <v>175</v>
      </c>
      <c r="E159" s="31" t="s">
        <v>10</v>
      </c>
      <c r="F159" s="29">
        <f>SUM(G159:M159)</f>
        <v>18873.465</v>
      </c>
      <c r="G159" s="29">
        <f>G160+G161+G162</f>
        <v>7919.9650000000001</v>
      </c>
      <c r="H159" s="29">
        <v>10953.5</v>
      </c>
      <c r="I159" s="29">
        <f t="shared" ref="I159:M159" si="70">I160+I161+I162</f>
        <v>0</v>
      </c>
      <c r="J159" s="29">
        <f t="shared" si="70"/>
        <v>0</v>
      </c>
      <c r="K159" s="29">
        <f t="shared" si="70"/>
        <v>0</v>
      </c>
      <c r="L159" s="29">
        <f t="shared" si="70"/>
        <v>0</v>
      </c>
      <c r="M159" s="29">
        <f t="shared" si="70"/>
        <v>0</v>
      </c>
    </row>
    <row r="160" spans="1:14" ht="45.75" hidden="1" customHeight="1" thickBot="1" x14ac:dyDescent="0.3">
      <c r="A160" s="101"/>
      <c r="B160" s="101"/>
      <c r="C160" s="101"/>
      <c r="D160" s="101"/>
      <c r="E160" s="31" t="s">
        <v>21</v>
      </c>
      <c r="F160" s="29">
        <f>F163</f>
        <v>0</v>
      </c>
      <c r="G160" s="29">
        <f>G163</f>
        <v>0</v>
      </c>
      <c r="H160" s="29">
        <f t="shared" ref="H160" si="71">H163</f>
        <v>0</v>
      </c>
      <c r="I160" s="29">
        <f t="shared" ref="I160" si="72">I163</f>
        <v>0</v>
      </c>
      <c r="J160" s="29">
        <v>0</v>
      </c>
      <c r="K160" s="29">
        <v>0</v>
      </c>
      <c r="L160" s="29">
        <v>0</v>
      </c>
      <c r="M160" s="29">
        <v>0</v>
      </c>
    </row>
    <row r="161" spans="1:13" ht="21.75" customHeight="1" thickBot="1" x14ac:dyDescent="0.3">
      <c r="A161" s="101"/>
      <c r="B161" s="101"/>
      <c r="C161" s="101"/>
      <c r="D161" s="101"/>
      <c r="E161" s="31" t="s">
        <v>21</v>
      </c>
      <c r="F161" s="29">
        <f>SUM(G161:M161)</f>
        <v>18873.465</v>
      </c>
      <c r="G161" s="29">
        <v>7919.9650000000001</v>
      </c>
      <c r="H161" s="29">
        <v>10953.5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</row>
    <row r="162" spans="1:13" ht="29.25" customHeight="1" thickBot="1" x14ac:dyDescent="0.3">
      <c r="A162" s="102"/>
      <c r="B162" s="102"/>
      <c r="C162" s="102"/>
      <c r="D162" s="102"/>
      <c r="E162" s="31" t="s">
        <v>133</v>
      </c>
      <c r="F162" s="29">
        <f>SUM(G162:M162)</f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</row>
    <row r="163" spans="1:13" x14ac:dyDescent="0.25">
      <c r="A163" s="100" t="s">
        <v>271</v>
      </c>
      <c r="B163" s="100" t="s">
        <v>141</v>
      </c>
      <c r="C163" s="100" t="s">
        <v>174</v>
      </c>
      <c r="D163" s="100" t="s">
        <v>175</v>
      </c>
      <c r="E163" s="100" t="s">
        <v>21</v>
      </c>
      <c r="F163" s="106">
        <f>G163+H163+M163</f>
        <v>0</v>
      </c>
      <c r="G163" s="106">
        <v>0</v>
      </c>
      <c r="H163" s="106">
        <v>0</v>
      </c>
      <c r="I163" s="106">
        <v>0</v>
      </c>
      <c r="J163" s="106">
        <v>0</v>
      </c>
      <c r="K163" s="106">
        <v>0</v>
      </c>
      <c r="L163" s="106">
        <v>0</v>
      </c>
      <c r="M163" s="106">
        <v>0</v>
      </c>
    </row>
    <row r="164" spans="1:13" ht="66" customHeight="1" thickBot="1" x14ac:dyDescent="0.3">
      <c r="A164" s="102"/>
      <c r="B164" s="102"/>
      <c r="C164" s="102"/>
      <c r="D164" s="102"/>
      <c r="E164" s="102"/>
      <c r="F164" s="107"/>
      <c r="G164" s="107"/>
      <c r="H164" s="107"/>
      <c r="I164" s="107"/>
      <c r="J164" s="107"/>
      <c r="K164" s="107"/>
      <c r="L164" s="107"/>
      <c r="M164" s="107"/>
    </row>
    <row r="165" spans="1:13" ht="19.5" hidden="1" customHeight="1" thickBot="1" x14ac:dyDescent="0.3">
      <c r="A165" s="100" t="s">
        <v>176</v>
      </c>
      <c r="B165" s="100" t="s">
        <v>177</v>
      </c>
      <c r="C165" s="100" t="s">
        <v>20</v>
      </c>
      <c r="D165" s="100" t="s">
        <v>20</v>
      </c>
      <c r="E165" s="31" t="s">
        <v>10</v>
      </c>
      <c r="F165" s="29">
        <f>F166</f>
        <v>0</v>
      </c>
      <c r="G165" s="29">
        <f t="shared" ref="G165:I165" si="73">G166</f>
        <v>0</v>
      </c>
      <c r="H165" s="29">
        <f t="shared" si="73"/>
        <v>0</v>
      </c>
      <c r="I165" s="29">
        <f t="shared" si="73"/>
        <v>0</v>
      </c>
      <c r="J165" s="29">
        <v>0</v>
      </c>
      <c r="K165" s="29">
        <v>0</v>
      </c>
      <c r="L165" s="29">
        <v>0</v>
      </c>
      <c r="M165" s="29">
        <v>0</v>
      </c>
    </row>
    <row r="166" spans="1:13" ht="68.25" customHeight="1" thickBot="1" x14ac:dyDescent="0.3">
      <c r="A166" s="102"/>
      <c r="B166" s="102"/>
      <c r="C166" s="102"/>
      <c r="D166" s="102"/>
      <c r="E166" s="31" t="s">
        <v>93</v>
      </c>
      <c r="F166" s="29">
        <f>G166+H166+M166</f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</row>
    <row r="167" spans="1:13" ht="25.5" hidden="1" customHeight="1" thickBot="1" x14ac:dyDescent="0.3">
      <c r="A167" s="100" t="s">
        <v>178</v>
      </c>
      <c r="B167" s="100" t="s">
        <v>179</v>
      </c>
      <c r="C167" s="100" t="s">
        <v>20</v>
      </c>
      <c r="D167" s="100" t="s">
        <v>20</v>
      </c>
      <c r="E167" s="31" t="s">
        <v>10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</row>
    <row r="168" spans="1:13" ht="65.25" customHeight="1" thickBot="1" x14ac:dyDescent="0.3">
      <c r="A168" s="102"/>
      <c r="B168" s="102"/>
      <c r="C168" s="102"/>
      <c r="D168" s="102"/>
      <c r="E168" s="31" t="s">
        <v>93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</row>
    <row r="169" spans="1:13" ht="39" hidden="1" customHeight="1" thickBot="1" x14ac:dyDescent="0.3">
      <c r="A169" s="100" t="s">
        <v>180</v>
      </c>
      <c r="B169" s="100" t="s">
        <v>181</v>
      </c>
      <c r="C169" s="100" t="s">
        <v>20</v>
      </c>
      <c r="D169" s="100" t="s">
        <v>20</v>
      </c>
      <c r="E169" s="31" t="s">
        <v>10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</row>
    <row r="170" spans="1:13" ht="82.5" customHeight="1" thickBot="1" x14ac:dyDescent="0.3">
      <c r="A170" s="102"/>
      <c r="B170" s="102"/>
      <c r="C170" s="102"/>
      <c r="D170" s="102"/>
      <c r="E170" s="31" t="s">
        <v>93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</row>
    <row r="171" spans="1:13" ht="51" customHeight="1" thickBot="1" x14ac:dyDescent="0.3">
      <c r="A171" s="108" t="s">
        <v>182</v>
      </c>
      <c r="B171" s="109"/>
      <c r="C171" s="109"/>
      <c r="D171" s="149"/>
      <c r="E171" s="34" t="s">
        <v>93</v>
      </c>
      <c r="F171" s="29">
        <f t="shared" ref="F171:M171" si="74">F157</f>
        <v>3598.6095999999998</v>
      </c>
      <c r="G171" s="29">
        <f t="shared" si="74"/>
        <v>3598.6095999999998</v>
      </c>
      <c r="H171" s="29">
        <f t="shared" si="74"/>
        <v>0</v>
      </c>
      <c r="I171" s="29">
        <f t="shared" si="74"/>
        <v>0</v>
      </c>
      <c r="J171" s="29">
        <f t="shared" si="74"/>
        <v>0</v>
      </c>
      <c r="K171" s="29">
        <f t="shared" si="74"/>
        <v>0</v>
      </c>
      <c r="L171" s="29">
        <f t="shared" si="74"/>
        <v>0</v>
      </c>
      <c r="M171" s="29">
        <f t="shared" si="74"/>
        <v>0</v>
      </c>
    </row>
    <row r="172" spans="1:13" ht="60.75" customHeight="1" thickBot="1" x14ac:dyDescent="0.3">
      <c r="A172" s="111"/>
      <c r="B172" s="112"/>
      <c r="C172" s="112"/>
      <c r="D172" s="135"/>
      <c r="E172" s="34" t="s">
        <v>21</v>
      </c>
      <c r="F172" s="29">
        <f t="shared" ref="F172:F173" si="75">SUM(G172:M172)</f>
        <v>405510.15316000005</v>
      </c>
      <c r="G172" s="29">
        <f>G156+G159+G158</f>
        <v>39494.404160000006</v>
      </c>
      <c r="H172" s="29">
        <f t="shared" ref="H172:M172" si="76">H156+H159+H158</f>
        <v>93632.6</v>
      </c>
      <c r="I172" s="29">
        <f t="shared" si="76"/>
        <v>58127.185000000005</v>
      </c>
      <c r="J172" s="29">
        <f t="shared" si="76"/>
        <v>58212.764000000003</v>
      </c>
      <c r="K172" s="29">
        <f t="shared" si="76"/>
        <v>52014.400000000001</v>
      </c>
      <c r="L172" s="29">
        <f t="shared" si="76"/>
        <v>52014.400000000001</v>
      </c>
      <c r="M172" s="29">
        <f t="shared" si="76"/>
        <v>52014.400000000001</v>
      </c>
    </row>
    <row r="173" spans="1:13" ht="15.75" customHeight="1" thickBot="1" x14ac:dyDescent="0.3">
      <c r="A173" s="114"/>
      <c r="B173" s="115"/>
      <c r="C173" s="115"/>
      <c r="D173" s="136"/>
      <c r="E173" s="34" t="s">
        <v>89</v>
      </c>
      <c r="F173" s="29">
        <f t="shared" si="75"/>
        <v>409108.76276000007</v>
      </c>
      <c r="G173" s="29">
        <f t="shared" ref="G173:M173" si="77">G171+G172</f>
        <v>43093.013760000002</v>
      </c>
      <c r="H173" s="29">
        <f t="shared" si="77"/>
        <v>93632.6</v>
      </c>
      <c r="I173" s="29">
        <f t="shared" si="77"/>
        <v>58127.185000000005</v>
      </c>
      <c r="J173" s="29">
        <f t="shared" si="77"/>
        <v>58212.764000000003</v>
      </c>
      <c r="K173" s="29">
        <f t="shared" si="77"/>
        <v>52014.400000000001</v>
      </c>
      <c r="L173" s="29">
        <f t="shared" si="77"/>
        <v>52014.400000000001</v>
      </c>
      <c r="M173" s="29">
        <f t="shared" si="77"/>
        <v>52014.400000000001</v>
      </c>
    </row>
    <row r="174" spans="1:13" ht="15.75" thickBot="1" x14ac:dyDescent="0.3">
      <c r="A174" s="103" t="s">
        <v>183</v>
      </c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5"/>
    </row>
    <row r="175" spans="1:13" ht="60.75" customHeight="1" thickBot="1" x14ac:dyDescent="0.3">
      <c r="A175" s="100" t="s">
        <v>184</v>
      </c>
      <c r="B175" s="100" t="s">
        <v>185</v>
      </c>
      <c r="C175" s="100" t="s">
        <v>186</v>
      </c>
      <c r="D175" s="100" t="s">
        <v>186</v>
      </c>
      <c r="E175" s="31" t="s">
        <v>10</v>
      </c>
      <c r="F175" s="29">
        <f>F176+F177</f>
        <v>0</v>
      </c>
      <c r="G175" s="29">
        <f t="shared" ref="G175:H175" si="78">G176+G177</f>
        <v>0</v>
      </c>
      <c r="H175" s="29">
        <f t="shared" si="78"/>
        <v>0</v>
      </c>
      <c r="I175" s="29">
        <f t="shared" ref="I175" si="79">I176+I177</f>
        <v>0</v>
      </c>
      <c r="J175" s="29">
        <v>0</v>
      </c>
      <c r="K175" s="29">
        <v>0</v>
      </c>
      <c r="L175" s="29">
        <v>0</v>
      </c>
      <c r="M175" s="29">
        <v>0</v>
      </c>
    </row>
    <row r="176" spans="1:13" ht="60" customHeight="1" thickBot="1" x14ac:dyDescent="0.3">
      <c r="A176" s="101"/>
      <c r="B176" s="101"/>
      <c r="C176" s="101"/>
      <c r="D176" s="101"/>
      <c r="E176" s="31" t="s">
        <v>93</v>
      </c>
      <c r="F176" s="29">
        <f>SUM(G176:M176)</f>
        <v>0</v>
      </c>
      <c r="G176" s="29">
        <f>G179+G183</f>
        <v>0</v>
      </c>
      <c r="H176" s="29">
        <f t="shared" ref="H176" si="80">H179+H183</f>
        <v>0</v>
      </c>
      <c r="I176" s="29">
        <f t="shared" ref="I176" si="81">I179+I183</f>
        <v>0</v>
      </c>
      <c r="J176" s="29">
        <v>0</v>
      </c>
      <c r="K176" s="29">
        <v>0</v>
      </c>
      <c r="L176" s="29">
        <v>0</v>
      </c>
      <c r="M176" s="29">
        <v>0</v>
      </c>
    </row>
    <row r="177" spans="1:13" ht="15.75" thickBot="1" x14ac:dyDescent="0.3">
      <c r="A177" s="102"/>
      <c r="B177" s="102"/>
      <c r="C177" s="102"/>
      <c r="D177" s="102"/>
      <c r="E177" s="31" t="s">
        <v>21</v>
      </c>
      <c r="F177" s="29">
        <f>SUM(G177:M177)</f>
        <v>0</v>
      </c>
      <c r="G177" s="29">
        <f>G180+G182</f>
        <v>0</v>
      </c>
      <c r="H177" s="29">
        <f t="shared" ref="H177" si="82">H180+H182</f>
        <v>0</v>
      </c>
      <c r="I177" s="29">
        <f t="shared" ref="I177" si="83">I180+I182</f>
        <v>0</v>
      </c>
      <c r="J177" s="29">
        <v>0</v>
      </c>
      <c r="K177" s="29">
        <v>0</v>
      </c>
      <c r="L177" s="29">
        <v>0</v>
      </c>
      <c r="M177" s="29">
        <v>0</v>
      </c>
    </row>
    <row r="178" spans="1:13" ht="72" customHeight="1" thickBot="1" x14ac:dyDescent="0.3">
      <c r="A178" s="100" t="s">
        <v>187</v>
      </c>
      <c r="B178" s="100" t="s">
        <v>188</v>
      </c>
      <c r="C178" s="100" t="s">
        <v>174</v>
      </c>
      <c r="D178" s="100" t="s">
        <v>174</v>
      </c>
      <c r="E178" s="31" t="s">
        <v>10</v>
      </c>
      <c r="F178" s="29">
        <f>F179+F180</f>
        <v>0</v>
      </c>
      <c r="G178" s="29">
        <f t="shared" ref="G178:H178" si="84">G179+G180</f>
        <v>0</v>
      </c>
      <c r="H178" s="29">
        <f t="shared" si="84"/>
        <v>0</v>
      </c>
      <c r="I178" s="29">
        <f t="shared" ref="I178" si="85">I179+I180</f>
        <v>0</v>
      </c>
      <c r="J178" s="29">
        <v>0</v>
      </c>
      <c r="K178" s="29">
        <v>0</v>
      </c>
      <c r="L178" s="29">
        <v>0</v>
      </c>
      <c r="M178" s="29">
        <v>0</v>
      </c>
    </row>
    <row r="179" spans="1:13" ht="45.75" thickBot="1" x14ac:dyDescent="0.3">
      <c r="A179" s="101"/>
      <c r="B179" s="101"/>
      <c r="C179" s="101"/>
      <c r="D179" s="101"/>
      <c r="E179" s="31" t="s">
        <v>93</v>
      </c>
      <c r="F179" s="29">
        <f>SUM(G179:M179)</f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</row>
    <row r="180" spans="1:13" ht="15.75" thickBot="1" x14ac:dyDescent="0.3">
      <c r="A180" s="102"/>
      <c r="B180" s="102"/>
      <c r="C180" s="102"/>
      <c r="D180" s="102"/>
      <c r="E180" s="31" t="s">
        <v>21</v>
      </c>
      <c r="F180" s="29">
        <f>SUM(G180:M180)</f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</row>
    <row r="181" spans="1:13" ht="38.25" customHeight="1" thickBot="1" x14ac:dyDescent="0.3">
      <c r="A181" s="100" t="s">
        <v>189</v>
      </c>
      <c r="B181" s="100" t="s">
        <v>190</v>
      </c>
      <c r="C181" s="100" t="s">
        <v>20</v>
      </c>
      <c r="D181" s="100" t="s">
        <v>20</v>
      </c>
      <c r="E181" s="31" t="s">
        <v>10</v>
      </c>
      <c r="F181" s="29">
        <f>F182+F183</f>
        <v>0</v>
      </c>
      <c r="G181" s="29">
        <f t="shared" ref="G181:H181" si="86">G182+G183</f>
        <v>0</v>
      </c>
      <c r="H181" s="29">
        <f t="shared" si="86"/>
        <v>0</v>
      </c>
      <c r="I181" s="29">
        <f t="shared" ref="I181" si="87">I182+I183</f>
        <v>0</v>
      </c>
      <c r="J181" s="29">
        <v>0</v>
      </c>
      <c r="K181" s="29">
        <v>0</v>
      </c>
      <c r="L181" s="29">
        <v>0</v>
      </c>
      <c r="M181" s="29">
        <v>0</v>
      </c>
    </row>
    <row r="182" spans="1:13" ht="15.75" thickBot="1" x14ac:dyDescent="0.3">
      <c r="A182" s="101"/>
      <c r="B182" s="101"/>
      <c r="C182" s="101"/>
      <c r="D182" s="101"/>
      <c r="E182" s="31" t="s">
        <v>21</v>
      </c>
      <c r="F182" s="29">
        <f>SUM(G182:M182)</f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</row>
    <row r="183" spans="1:13" ht="45.75" thickBot="1" x14ac:dyDescent="0.3">
      <c r="A183" s="102"/>
      <c r="B183" s="102"/>
      <c r="C183" s="102"/>
      <c r="D183" s="102"/>
      <c r="E183" s="31" t="s">
        <v>93</v>
      </c>
      <c r="F183" s="29">
        <f>SUM(G183:M183)</f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</row>
    <row r="184" spans="1:13" ht="39" customHeight="1" thickBot="1" x14ac:dyDescent="0.3">
      <c r="A184" s="100" t="s">
        <v>191</v>
      </c>
      <c r="B184" s="100" t="s">
        <v>192</v>
      </c>
      <c r="C184" s="100" t="s">
        <v>174</v>
      </c>
      <c r="D184" s="100" t="s">
        <v>174</v>
      </c>
      <c r="E184" s="31" t="s">
        <v>10</v>
      </c>
      <c r="F184" s="29">
        <f>F185+F186</f>
        <v>0</v>
      </c>
      <c r="G184" s="29">
        <f t="shared" ref="G184:H184" si="88">G185+G186</f>
        <v>0</v>
      </c>
      <c r="H184" s="29">
        <f t="shared" si="88"/>
        <v>0</v>
      </c>
      <c r="I184" s="29">
        <f t="shared" ref="I184" si="89">I185+I186</f>
        <v>0</v>
      </c>
      <c r="J184" s="29">
        <v>0</v>
      </c>
      <c r="K184" s="29">
        <v>0</v>
      </c>
      <c r="L184" s="29">
        <v>0</v>
      </c>
      <c r="M184" s="29">
        <v>0</v>
      </c>
    </row>
    <row r="185" spans="1:13" ht="15.75" thickBot="1" x14ac:dyDescent="0.3">
      <c r="A185" s="101"/>
      <c r="B185" s="101"/>
      <c r="C185" s="101"/>
      <c r="D185" s="101"/>
      <c r="E185" s="31" t="s">
        <v>21</v>
      </c>
      <c r="F185" s="29">
        <f t="shared" ref="F185:F192" si="90">SUM(G185:M185)</f>
        <v>0</v>
      </c>
      <c r="G185" s="29">
        <f>G189</f>
        <v>0</v>
      </c>
      <c r="H185" s="29">
        <f t="shared" ref="H185" si="91">H189</f>
        <v>0</v>
      </c>
      <c r="I185" s="29">
        <f t="shared" ref="I185" si="92">I189</f>
        <v>0</v>
      </c>
      <c r="J185" s="29">
        <v>0</v>
      </c>
      <c r="K185" s="29">
        <v>0</v>
      </c>
      <c r="L185" s="29">
        <v>0</v>
      </c>
      <c r="M185" s="29">
        <v>0</v>
      </c>
    </row>
    <row r="186" spans="1:13" ht="45.75" thickBot="1" x14ac:dyDescent="0.3">
      <c r="A186" s="102"/>
      <c r="B186" s="102"/>
      <c r="C186" s="102"/>
      <c r="D186" s="102"/>
      <c r="E186" s="31" t="s">
        <v>93</v>
      </c>
      <c r="F186" s="29">
        <f t="shared" si="90"/>
        <v>0</v>
      </c>
      <c r="G186" s="29">
        <f>G188</f>
        <v>0</v>
      </c>
      <c r="H186" s="29">
        <f t="shared" ref="H186" si="93">H188</f>
        <v>0</v>
      </c>
      <c r="I186" s="29">
        <f t="shared" ref="I186" si="94">I188</f>
        <v>0</v>
      </c>
      <c r="J186" s="29">
        <v>0</v>
      </c>
      <c r="K186" s="29">
        <v>0</v>
      </c>
      <c r="L186" s="29">
        <v>0</v>
      </c>
      <c r="M186" s="29">
        <v>0</v>
      </c>
    </row>
    <row r="187" spans="1:13" ht="70.5" customHeight="1" thickBot="1" x14ac:dyDescent="0.3">
      <c r="A187" s="100" t="s">
        <v>193</v>
      </c>
      <c r="B187" s="100" t="s">
        <v>194</v>
      </c>
      <c r="C187" s="100" t="s">
        <v>174</v>
      </c>
      <c r="D187" s="100" t="s">
        <v>174</v>
      </c>
      <c r="E187" s="31" t="s">
        <v>10</v>
      </c>
      <c r="F187" s="29">
        <f t="shared" si="90"/>
        <v>0</v>
      </c>
      <c r="G187" s="29">
        <f t="shared" ref="G187:H187" si="95">G188+G189</f>
        <v>0</v>
      </c>
      <c r="H187" s="29">
        <f t="shared" si="95"/>
        <v>0</v>
      </c>
      <c r="I187" s="29">
        <f t="shared" ref="I187" si="96">I188+I189</f>
        <v>0</v>
      </c>
      <c r="J187" s="29">
        <v>0</v>
      </c>
      <c r="K187" s="29">
        <v>0</v>
      </c>
      <c r="L187" s="29">
        <v>0</v>
      </c>
      <c r="M187" s="29">
        <v>0</v>
      </c>
    </row>
    <row r="188" spans="1:13" ht="45.75" thickBot="1" x14ac:dyDescent="0.3">
      <c r="A188" s="101"/>
      <c r="B188" s="101"/>
      <c r="C188" s="101"/>
      <c r="D188" s="101"/>
      <c r="E188" s="31" t="s">
        <v>93</v>
      </c>
      <c r="F188" s="29">
        <f t="shared" si="90"/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</row>
    <row r="189" spans="1:13" ht="34.5" customHeight="1" thickBot="1" x14ac:dyDescent="0.3">
      <c r="A189" s="102"/>
      <c r="B189" s="102"/>
      <c r="C189" s="102"/>
      <c r="D189" s="102"/>
      <c r="E189" s="31" t="s">
        <v>21</v>
      </c>
      <c r="F189" s="29">
        <f t="shared" si="90"/>
        <v>0</v>
      </c>
      <c r="G189" s="29"/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</row>
    <row r="190" spans="1:13" ht="45.75" customHeight="1" thickBot="1" x14ac:dyDescent="0.3">
      <c r="A190" s="100" t="s">
        <v>195</v>
      </c>
      <c r="B190" s="100" t="s">
        <v>267</v>
      </c>
      <c r="C190" s="100" t="s">
        <v>196</v>
      </c>
      <c r="D190" s="100" t="s">
        <v>272</v>
      </c>
      <c r="E190" s="31" t="s">
        <v>89</v>
      </c>
      <c r="F190" s="29">
        <f t="shared" si="90"/>
        <v>203331.5</v>
      </c>
      <c r="G190" s="29">
        <f t="shared" ref="G190:M190" si="97">G191+G192</f>
        <v>203331.5</v>
      </c>
      <c r="H190" s="29">
        <f t="shared" si="97"/>
        <v>0</v>
      </c>
      <c r="I190" s="29">
        <f t="shared" si="97"/>
        <v>0</v>
      </c>
      <c r="J190" s="29">
        <f t="shared" si="97"/>
        <v>0</v>
      </c>
      <c r="K190" s="29">
        <f t="shared" si="97"/>
        <v>0</v>
      </c>
      <c r="L190" s="29">
        <f t="shared" si="97"/>
        <v>0</v>
      </c>
      <c r="M190" s="29">
        <f t="shared" si="97"/>
        <v>0</v>
      </c>
    </row>
    <row r="191" spans="1:13" ht="75.75" customHeight="1" thickBot="1" x14ac:dyDescent="0.3">
      <c r="A191" s="101"/>
      <c r="B191" s="101"/>
      <c r="C191" s="101"/>
      <c r="D191" s="101"/>
      <c r="E191" s="31" t="s">
        <v>21</v>
      </c>
      <c r="F191" s="29">
        <f t="shared" si="90"/>
        <v>2033.3</v>
      </c>
      <c r="G191" s="29">
        <v>2033.3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</row>
    <row r="192" spans="1:13" ht="45.75" thickBot="1" x14ac:dyDescent="0.3">
      <c r="A192" s="102"/>
      <c r="B192" s="102"/>
      <c r="C192" s="102"/>
      <c r="D192" s="102"/>
      <c r="E192" s="31" t="s">
        <v>93</v>
      </c>
      <c r="F192" s="29">
        <f t="shared" si="90"/>
        <v>201298.2</v>
      </c>
      <c r="G192" s="29">
        <v>201298.2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</row>
    <row r="193" spans="1:13" ht="41.25" customHeight="1" thickBot="1" x14ac:dyDescent="0.3">
      <c r="A193" s="130" t="s">
        <v>266</v>
      </c>
      <c r="B193" s="111" t="s">
        <v>273</v>
      </c>
      <c r="C193" s="132" t="s">
        <v>196</v>
      </c>
      <c r="D193" s="135" t="s">
        <v>272</v>
      </c>
      <c r="E193" s="31" t="s">
        <v>89</v>
      </c>
      <c r="F193" s="29">
        <f>F194+F195</f>
        <v>203331.5</v>
      </c>
      <c r="G193" s="29">
        <f>G194+G195</f>
        <v>203331.5</v>
      </c>
      <c r="H193" s="29">
        <f>H194+H195</f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</row>
    <row r="194" spans="1:13" ht="52.5" customHeight="1" thickBot="1" x14ac:dyDescent="0.3">
      <c r="A194" s="130"/>
      <c r="B194" s="111"/>
      <c r="C194" s="133"/>
      <c r="D194" s="135"/>
      <c r="E194" s="31" t="s">
        <v>21</v>
      </c>
      <c r="F194" s="29">
        <v>2033.3</v>
      </c>
      <c r="G194" s="29">
        <v>2033.3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</row>
    <row r="195" spans="1:13" ht="75.75" customHeight="1" thickBot="1" x14ac:dyDescent="0.3">
      <c r="A195" s="131"/>
      <c r="B195" s="114"/>
      <c r="C195" s="134"/>
      <c r="D195" s="136"/>
      <c r="E195" s="31" t="s">
        <v>93</v>
      </c>
      <c r="F195" s="29">
        <v>201298.2</v>
      </c>
      <c r="G195" s="29">
        <v>201298.2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</row>
    <row r="196" spans="1:13" ht="15.75" thickBot="1" x14ac:dyDescent="0.3">
      <c r="A196" s="108" t="s">
        <v>197</v>
      </c>
      <c r="B196" s="109"/>
      <c r="C196" s="112"/>
      <c r="D196" s="110"/>
      <c r="E196" s="31" t="s">
        <v>89</v>
      </c>
      <c r="F196" s="29">
        <f t="shared" ref="F196:M196" si="98">F197+F198</f>
        <v>203331.5</v>
      </c>
      <c r="G196" s="29">
        <f t="shared" si="98"/>
        <v>203331.5</v>
      </c>
      <c r="H196" s="29">
        <f t="shared" si="98"/>
        <v>0</v>
      </c>
      <c r="I196" s="29">
        <f t="shared" si="98"/>
        <v>0</v>
      </c>
      <c r="J196" s="29">
        <f t="shared" si="98"/>
        <v>0</v>
      </c>
      <c r="K196" s="29">
        <f t="shared" si="98"/>
        <v>0</v>
      </c>
      <c r="L196" s="29">
        <f t="shared" si="98"/>
        <v>0</v>
      </c>
      <c r="M196" s="29">
        <f t="shared" si="98"/>
        <v>0</v>
      </c>
    </row>
    <row r="197" spans="1:13" ht="15.75" thickBot="1" x14ac:dyDescent="0.3">
      <c r="A197" s="111"/>
      <c r="B197" s="112"/>
      <c r="C197" s="112"/>
      <c r="D197" s="113"/>
      <c r="E197" s="31" t="s">
        <v>63</v>
      </c>
      <c r="F197" s="29">
        <v>201298.2</v>
      </c>
      <c r="G197" s="29">
        <v>201298.2</v>
      </c>
      <c r="H197" s="29">
        <f t="shared" ref="H197:M197" si="99">H192</f>
        <v>0</v>
      </c>
      <c r="I197" s="29">
        <f t="shared" si="99"/>
        <v>0</v>
      </c>
      <c r="J197" s="29">
        <f t="shared" si="99"/>
        <v>0</v>
      </c>
      <c r="K197" s="29">
        <f t="shared" si="99"/>
        <v>0</v>
      </c>
      <c r="L197" s="29">
        <f t="shared" si="99"/>
        <v>0</v>
      </c>
      <c r="M197" s="29">
        <f t="shared" si="99"/>
        <v>0</v>
      </c>
    </row>
    <row r="198" spans="1:13" ht="15.75" thickBot="1" x14ac:dyDescent="0.3">
      <c r="A198" s="114"/>
      <c r="B198" s="115"/>
      <c r="C198" s="115"/>
      <c r="D198" s="116"/>
      <c r="E198" s="31" t="s">
        <v>21</v>
      </c>
      <c r="F198" s="29">
        <v>2033.3</v>
      </c>
      <c r="G198" s="29">
        <v>2033.3</v>
      </c>
      <c r="H198" s="29">
        <f t="shared" ref="H198:M198" si="100">H191</f>
        <v>0</v>
      </c>
      <c r="I198" s="29">
        <f t="shared" si="100"/>
        <v>0</v>
      </c>
      <c r="J198" s="29">
        <f t="shared" si="100"/>
        <v>0</v>
      </c>
      <c r="K198" s="29">
        <f t="shared" si="100"/>
        <v>0</v>
      </c>
      <c r="L198" s="29">
        <f t="shared" si="100"/>
        <v>0</v>
      </c>
      <c r="M198" s="29">
        <f t="shared" si="100"/>
        <v>0</v>
      </c>
    </row>
    <row r="199" spans="1:13" ht="30" customHeight="1" thickBot="1" x14ac:dyDescent="0.3">
      <c r="A199" s="103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5"/>
    </row>
    <row r="200" spans="1:13" ht="30" customHeight="1" thickBot="1" x14ac:dyDescent="0.3">
      <c r="A200" s="108" t="s">
        <v>198</v>
      </c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10"/>
    </row>
    <row r="201" spans="1:13" ht="64.5" customHeight="1" thickBot="1" x14ac:dyDescent="0.3">
      <c r="A201" s="100" t="s">
        <v>199</v>
      </c>
      <c r="B201" s="100" t="s">
        <v>200</v>
      </c>
      <c r="C201" s="100" t="s">
        <v>20</v>
      </c>
      <c r="D201" s="108" t="s">
        <v>20</v>
      </c>
      <c r="E201" s="137" t="s">
        <v>21</v>
      </c>
      <c r="F201" s="140">
        <f>SUM(G201:M203)</f>
        <v>700</v>
      </c>
      <c r="G201" s="143">
        <v>100</v>
      </c>
      <c r="H201" s="140">
        <v>100</v>
      </c>
      <c r="I201" s="47">
        <v>100</v>
      </c>
      <c r="J201" s="48">
        <f>I201</f>
        <v>100</v>
      </c>
      <c r="K201" s="49">
        <v>100</v>
      </c>
      <c r="L201" s="47">
        <v>100</v>
      </c>
      <c r="M201" s="47">
        <v>100</v>
      </c>
    </row>
    <row r="202" spans="1:13" ht="15.75" hidden="1" thickBot="1" x14ac:dyDescent="0.3">
      <c r="A202" s="101"/>
      <c r="B202" s="101"/>
      <c r="C202" s="101"/>
      <c r="D202" s="111"/>
      <c r="E202" s="138"/>
      <c r="F202" s="141"/>
      <c r="G202" s="144"/>
      <c r="H202" s="141"/>
      <c r="I202" s="50"/>
      <c r="J202" s="48">
        <f t="shared" ref="J202:J210" si="101">I202</f>
        <v>0</v>
      </c>
      <c r="K202" s="51"/>
      <c r="L202" s="50"/>
      <c r="M202" s="50"/>
    </row>
    <row r="203" spans="1:13" ht="15.75" hidden="1" thickBot="1" x14ac:dyDescent="0.3">
      <c r="A203" s="101"/>
      <c r="B203" s="101"/>
      <c r="C203" s="101"/>
      <c r="D203" s="111"/>
      <c r="E203" s="139"/>
      <c r="F203" s="142"/>
      <c r="G203" s="145"/>
      <c r="H203" s="142"/>
      <c r="I203" s="52">
        <v>0</v>
      </c>
      <c r="J203" s="53">
        <f t="shared" si="101"/>
        <v>0</v>
      </c>
      <c r="K203" s="54"/>
      <c r="L203" s="52"/>
      <c r="M203" s="52">
        <v>0</v>
      </c>
    </row>
    <row r="204" spans="1:13" ht="78.75" customHeight="1" thickBot="1" x14ac:dyDescent="0.3">
      <c r="A204" s="100" t="s">
        <v>201</v>
      </c>
      <c r="B204" s="100" t="s">
        <v>202</v>
      </c>
      <c r="C204" s="100" t="s">
        <v>20</v>
      </c>
      <c r="D204" s="108" t="s">
        <v>20</v>
      </c>
      <c r="E204" s="137" t="s">
        <v>21</v>
      </c>
      <c r="F204" s="140">
        <f>SUM(G204:M206)</f>
        <v>560</v>
      </c>
      <c r="G204" s="143">
        <v>80</v>
      </c>
      <c r="H204" s="140">
        <v>80</v>
      </c>
      <c r="I204" s="48">
        <v>80</v>
      </c>
      <c r="J204" s="48">
        <f t="shared" si="101"/>
        <v>80</v>
      </c>
      <c r="K204" s="49">
        <v>80</v>
      </c>
      <c r="L204" s="47">
        <v>80</v>
      </c>
      <c r="M204" s="47">
        <v>80</v>
      </c>
    </row>
    <row r="205" spans="1:13" ht="15.75" hidden="1" thickBot="1" x14ac:dyDescent="0.3">
      <c r="A205" s="101"/>
      <c r="B205" s="101"/>
      <c r="C205" s="101"/>
      <c r="D205" s="111"/>
      <c r="E205" s="138"/>
      <c r="F205" s="141"/>
      <c r="G205" s="144"/>
      <c r="H205" s="141"/>
      <c r="I205" s="55"/>
      <c r="J205" s="48">
        <f t="shared" si="101"/>
        <v>0</v>
      </c>
      <c r="K205" s="51"/>
      <c r="L205" s="50"/>
      <c r="M205" s="50"/>
    </row>
    <row r="206" spans="1:13" ht="15.75" hidden="1" thickBot="1" x14ac:dyDescent="0.3">
      <c r="A206" s="102"/>
      <c r="B206" s="102"/>
      <c r="C206" s="102"/>
      <c r="D206" s="114"/>
      <c r="E206" s="148"/>
      <c r="F206" s="147"/>
      <c r="G206" s="146"/>
      <c r="H206" s="147"/>
      <c r="I206" s="56">
        <v>0</v>
      </c>
      <c r="J206" s="48">
        <f t="shared" si="101"/>
        <v>0</v>
      </c>
      <c r="K206" s="57"/>
      <c r="L206" s="56"/>
      <c r="M206" s="56">
        <v>0</v>
      </c>
    </row>
    <row r="207" spans="1:13" ht="82.5" customHeight="1" thickBot="1" x14ac:dyDescent="0.3">
      <c r="A207" s="100" t="s">
        <v>203</v>
      </c>
      <c r="B207" s="100" t="s">
        <v>264</v>
      </c>
      <c r="C207" s="100" t="s">
        <v>20</v>
      </c>
      <c r="D207" s="108" t="s">
        <v>20</v>
      </c>
      <c r="E207" s="137" t="s">
        <v>21</v>
      </c>
      <c r="F207" s="140">
        <f>SUM(G207:M209)</f>
        <v>210</v>
      </c>
      <c r="G207" s="143">
        <v>30</v>
      </c>
      <c r="H207" s="140">
        <v>30</v>
      </c>
      <c r="I207" s="47">
        <v>30</v>
      </c>
      <c r="J207" s="48">
        <f t="shared" si="101"/>
        <v>30</v>
      </c>
      <c r="K207" s="49">
        <v>30</v>
      </c>
      <c r="L207" s="48">
        <v>30</v>
      </c>
      <c r="M207" s="47">
        <v>30</v>
      </c>
    </row>
    <row r="208" spans="1:13" ht="15.75" hidden="1" thickBot="1" x14ac:dyDescent="0.3">
      <c r="A208" s="101"/>
      <c r="B208" s="101"/>
      <c r="C208" s="101"/>
      <c r="D208" s="111"/>
      <c r="E208" s="138"/>
      <c r="F208" s="141"/>
      <c r="G208" s="144"/>
      <c r="H208" s="141"/>
      <c r="I208" s="50"/>
      <c r="J208" s="48">
        <f t="shared" si="101"/>
        <v>0</v>
      </c>
      <c r="K208" s="51"/>
      <c r="L208" s="51"/>
      <c r="M208" s="50"/>
    </row>
    <row r="209" spans="1:15" ht="15.75" hidden="1" thickBot="1" x14ac:dyDescent="0.3">
      <c r="A209" s="102"/>
      <c r="B209" s="102"/>
      <c r="C209" s="102"/>
      <c r="D209" s="114"/>
      <c r="E209" s="148"/>
      <c r="F209" s="147"/>
      <c r="G209" s="146"/>
      <c r="H209" s="147"/>
      <c r="I209" s="56">
        <v>0</v>
      </c>
      <c r="J209" s="48">
        <f t="shared" si="101"/>
        <v>0</v>
      </c>
      <c r="K209" s="57"/>
      <c r="L209" s="57"/>
      <c r="M209" s="56">
        <v>0</v>
      </c>
    </row>
    <row r="210" spans="1:15" ht="15.75" thickBot="1" x14ac:dyDescent="0.3">
      <c r="A210" s="103" t="s">
        <v>204</v>
      </c>
      <c r="B210" s="104"/>
      <c r="C210" s="104"/>
      <c r="D210" s="104"/>
      <c r="E210" s="58" t="s">
        <v>21</v>
      </c>
      <c r="F210" s="49">
        <f>SUM(G210:M210)</f>
        <v>1470</v>
      </c>
      <c r="G210" s="59">
        <f t="shared" ref="G210:H210" si="102">G201+G204+G207</f>
        <v>210</v>
      </c>
      <c r="H210" s="49">
        <f t="shared" si="102"/>
        <v>210</v>
      </c>
      <c r="I210" s="48">
        <f t="shared" ref="I210" si="103">I201+I204+I207</f>
        <v>210</v>
      </c>
      <c r="J210" s="48">
        <f t="shared" si="101"/>
        <v>210</v>
      </c>
      <c r="K210" s="49">
        <f t="shared" ref="K210" si="104">J210</f>
        <v>210</v>
      </c>
      <c r="L210" s="49">
        <f t="shared" ref="L210" si="105">K210</f>
        <v>210</v>
      </c>
      <c r="M210" s="49">
        <f t="shared" ref="M210" si="106">L210</f>
        <v>210</v>
      </c>
    </row>
    <row r="211" spans="1:15" ht="30" customHeight="1" thickBot="1" x14ac:dyDescent="0.3">
      <c r="A211" s="114" t="s">
        <v>205</v>
      </c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6"/>
    </row>
    <row r="212" spans="1:15" ht="105.75" thickBot="1" x14ac:dyDescent="0.3">
      <c r="A212" s="30" t="s">
        <v>338</v>
      </c>
      <c r="B212" s="31" t="s">
        <v>206</v>
      </c>
      <c r="C212" s="31" t="s">
        <v>20</v>
      </c>
      <c r="D212" s="31" t="s">
        <v>20</v>
      </c>
      <c r="E212" s="31" t="s">
        <v>21</v>
      </c>
      <c r="F212" s="29">
        <f t="shared" ref="F212" si="107">SUM(G212:M212)</f>
        <v>5983.6</v>
      </c>
      <c r="G212" s="29">
        <f>1364.8-510</f>
        <v>854.8</v>
      </c>
      <c r="H212" s="29">
        <v>854.8</v>
      </c>
      <c r="I212" s="29">
        <v>854.8</v>
      </c>
      <c r="J212" s="29">
        <f>I212</f>
        <v>854.8</v>
      </c>
      <c r="K212" s="29">
        <v>854.8</v>
      </c>
      <c r="L212" s="29">
        <v>854.8</v>
      </c>
      <c r="M212" s="29">
        <v>854.8</v>
      </c>
      <c r="N212" s="60"/>
      <c r="O212" s="41"/>
    </row>
    <row r="213" spans="1:15" ht="45.75" thickBot="1" x14ac:dyDescent="0.3">
      <c r="A213" s="30" t="s">
        <v>339</v>
      </c>
      <c r="B213" s="31" t="s">
        <v>340</v>
      </c>
      <c r="C213" s="31" t="s">
        <v>20</v>
      </c>
      <c r="D213" s="31" t="s">
        <v>20</v>
      </c>
      <c r="E213" s="31" t="s">
        <v>330</v>
      </c>
      <c r="F213" s="29">
        <f t="shared" ref="F213" si="108">SUM(G213:M213)</f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60"/>
      <c r="O213" s="41"/>
    </row>
    <row r="214" spans="1:15" ht="15" customHeight="1" x14ac:dyDescent="0.25">
      <c r="A214" s="108" t="s">
        <v>207</v>
      </c>
      <c r="B214" s="109"/>
      <c r="C214" s="109"/>
      <c r="D214" s="110"/>
      <c r="E214" s="61"/>
      <c r="F214" s="106">
        <f>F212</f>
        <v>5983.6</v>
      </c>
      <c r="G214" s="106">
        <f t="shared" ref="G214:M214" si="109">G212</f>
        <v>854.8</v>
      </c>
      <c r="H214" s="106">
        <f t="shared" si="109"/>
        <v>854.8</v>
      </c>
      <c r="I214" s="106">
        <f t="shared" si="109"/>
        <v>854.8</v>
      </c>
      <c r="J214" s="106">
        <f t="shared" si="109"/>
        <v>854.8</v>
      </c>
      <c r="K214" s="106">
        <f t="shared" si="109"/>
        <v>854.8</v>
      </c>
      <c r="L214" s="106">
        <f t="shared" si="109"/>
        <v>854.8</v>
      </c>
      <c r="M214" s="106">
        <f t="shared" si="109"/>
        <v>854.8</v>
      </c>
    </row>
    <row r="215" spans="1:15" ht="15.75" thickBot="1" x14ac:dyDescent="0.3">
      <c r="A215" s="111"/>
      <c r="B215" s="112"/>
      <c r="C215" s="112"/>
      <c r="D215" s="113"/>
      <c r="E215" s="31" t="s">
        <v>21</v>
      </c>
      <c r="F215" s="107"/>
      <c r="G215" s="107"/>
      <c r="H215" s="107"/>
      <c r="I215" s="107"/>
      <c r="J215" s="107"/>
      <c r="K215" s="107"/>
      <c r="L215" s="107"/>
      <c r="M215" s="107"/>
    </row>
    <row r="216" spans="1:15" ht="45.75" thickBot="1" x14ac:dyDescent="0.3">
      <c r="A216" s="114"/>
      <c r="B216" s="115"/>
      <c r="C216" s="115"/>
      <c r="D216" s="116"/>
      <c r="E216" s="31" t="s">
        <v>93</v>
      </c>
      <c r="F216" s="29">
        <f>F213</f>
        <v>0</v>
      </c>
      <c r="G216" s="29">
        <f t="shared" ref="G216:M216" si="110">G213</f>
        <v>0</v>
      </c>
      <c r="H216" s="29">
        <f t="shared" si="110"/>
        <v>0</v>
      </c>
      <c r="I216" s="29">
        <f t="shared" si="110"/>
        <v>0</v>
      </c>
      <c r="J216" s="29">
        <f t="shared" si="110"/>
        <v>0</v>
      </c>
      <c r="K216" s="29">
        <f t="shared" si="110"/>
        <v>0</v>
      </c>
      <c r="L216" s="29">
        <f t="shared" si="110"/>
        <v>0</v>
      </c>
      <c r="M216" s="29">
        <f t="shared" si="110"/>
        <v>0</v>
      </c>
    </row>
    <row r="217" spans="1:15" ht="15.75" thickBot="1" x14ac:dyDescent="0.3">
      <c r="A217" s="62"/>
      <c r="B217" s="63"/>
      <c r="C217" s="63"/>
      <c r="D217" s="63"/>
      <c r="E217" s="31" t="s">
        <v>89</v>
      </c>
      <c r="F217" s="64">
        <f>F214+F216</f>
        <v>5983.6</v>
      </c>
      <c r="G217" s="64">
        <f t="shared" ref="G217:M217" si="111">G214+G216</f>
        <v>854.8</v>
      </c>
      <c r="H217" s="64">
        <f t="shared" si="111"/>
        <v>854.8</v>
      </c>
      <c r="I217" s="64">
        <f t="shared" si="111"/>
        <v>854.8</v>
      </c>
      <c r="J217" s="64">
        <f t="shared" si="111"/>
        <v>854.8</v>
      </c>
      <c r="K217" s="64">
        <f t="shared" si="111"/>
        <v>854.8</v>
      </c>
      <c r="L217" s="64">
        <f t="shared" si="111"/>
        <v>854.8</v>
      </c>
      <c r="M217" s="64">
        <f t="shared" si="111"/>
        <v>854.8</v>
      </c>
      <c r="N217" s="65">
        <f>H217-H149-H146</f>
        <v>854.8</v>
      </c>
    </row>
    <row r="218" spans="1:15" ht="45" customHeight="1" thickBot="1" x14ac:dyDescent="0.3">
      <c r="A218" s="103" t="s">
        <v>208</v>
      </c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5"/>
    </row>
    <row r="219" spans="1:15" ht="75.75" customHeight="1" thickBot="1" x14ac:dyDescent="0.3">
      <c r="A219" s="100" t="s">
        <v>290</v>
      </c>
      <c r="B219" s="149" t="s">
        <v>209</v>
      </c>
      <c r="C219" s="100" t="s">
        <v>20</v>
      </c>
      <c r="D219" s="149" t="s">
        <v>20</v>
      </c>
      <c r="E219" s="31" t="s">
        <v>21</v>
      </c>
      <c r="F219" s="29">
        <f>SUM(G219:M219)</f>
        <v>210</v>
      </c>
      <c r="G219" s="29">
        <v>30</v>
      </c>
      <c r="H219" s="29">
        <v>30</v>
      </c>
      <c r="I219" s="29">
        <v>30</v>
      </c>
      <c r="J219" s="29">
        <v>30</v>
      </c>
      <c r="K219" s="29">
        <v>30</v>
      </c>
      <c r="L219" s="29">
        <v>30</v>
      </c>
      <c r="M219" s="29">
        <v>30</v>
      </c>
    </row>
    <row r="220" spans="1:15" ht="45.75" thickBot="1" x14ac:dyDescent="0.3">
      <c r="A220" s="102"/>
      <c r="B220" s="136"/>
      <c r="C220" s="102"/>
      <c r="D220" s="136"/>
      <c r="E220" s="31" t="s">
        <v>330</v>
      </c>
      <c r="F220" s="29">
        <f>SUM(G220:M220)</f>
        <v>650</v>
      </c>
      <c r="G220" s="29">
        <v>650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16" t="s">
        <v>331</v>
      </c>
    </row>
    <row r="221" spans="1:15" ht="130.5" customHeight="1" thickBot="1" x14ac:dyDescent="0.3">
      <c r="A221" s="108" t="s">
        <v>307</v>
      </c>
      <c r="B221" s="100" t="s">
        <v>291</v>
      </c>
      <c r="C221" s="109" t="s">
        <v>20</v>
      </c>
      <c r="D221" s="100" t="s">
        <v>20</v>
      </c>
      <c r="E221" s="34" t="s">
        <v>21</v>
      </c>
      <c r="F221" s="29">
        <f t="shared" ref="F221:F222" si="112">SUM(G221:M221)</f>
        <v>6282.7</v>
      </c>
      <c r="G221" s="49">
        <v>0</v>
      </c>
      <c r="H221" s="66">
        <v>0</v>
      </c>
      <c r="I221" s="49">
        <v>0</v>
      </c>
      <c r="J221" s="49">
        <v>0</v>
      </c>
      <c r="K221" s="49">
        <v>1992.9</v>
      </c>
      <c r="L221" s="49">
        <v>2092.6</v>
      </c>
      <c r="M221" s="49">
        <v>2197.1999999999998</v>
      </c>
    </row>
    <row r="222" spans="1:15" ht="69" hidden="1" customHeight="1" thickBot="1" x14ac:dyDescent="0.3">
      <c r="A222" s="114"/>
      <c r="B222" s="102"/>
      <c r="C222" s="115"/>
      <c r="D222" s="102"/>
      <c r="E222" s="34"/>
      <c r="F222" s="29">
        <f t="shared" si="112"/>
        <v>0</v>
      </c>
      <c r="G222" s="67"/>
      <c r="H222" s="67"/>
      <c r="I222" s="67"/>
      <c r="J222" s="67"/>
      <c r="K222" s="67"/>
      <c r="L222" s="67"/>
      <c r="M222" s="67"/>
    </row>
    <row r="223" spans="1:15" ht="15" customHeight="1" x14ac:dyDescent="0.25">
      <c r="A223" s="108" t="s">
        <v>210</v>
      </c>
      <c r="B223" s="109"/>
      <c r="C223" s="109"/>
      <c r="D223" s="110"/>
      <c r="E223" s="61"/>
      <c r="F223" s="106">
        <f>SUM(G223:M224)</f>
        <v>6492.7</v>
      </c>
      <c r="G223" s="106">
        <f>G219+G221</f>
        <v>30</v>
      </c>
      <c r="H223" s="106">
        <f t="shared" ref="H223:M223" si="113">H219+H221</f>
        <v>30</v>
      </c>
      <c r="I223" s="106">
        <f t="shared" si="113"/>
        <v>30</v>
      </c>
      <c r="J223" s="106">
        <f t="shared" si="113"/>
        <v>30</v>
      </c>
      <c r="K223" s="106">
        <f t="shared" si="113"/>
        <v>2022.9</v>
      </c>
      <c r="L223" s="106">
        <f t="shared" si="113"/>
        <v>2122.6</v>
      </c>
      <c r="M223" s="106">
        <f t="shared" si="113"/>
        <v>2227.1999999999998</v>
      </c>
    </row>
    <row r="224" spans="1:15" ht="15.75" thickBot="1" x14ac:dyDescent="0.3">
      <c r="A224" s="111"/>
      <c r="B224" s="112"/>
      <c r="C224" s="112"/>
      <c r="D224" s="113"/>
      <c r="E224" s="31" t="s">
        <v>21</v>
      </c>
      <c r="F224" s="107"/>
      <c r="G224" s="107"/>
      <c r="H224" s="107"/>
      <c r="I224" s="107"/>
      <c r="J224" s="107"/>
      <c r="K224" s="107"/>
      <c r="L224" s="107"/>
      <c r="M224" s="107"/>
    </row>
    <row r="225" spans="1:16" ht="45.75" thickBot="1" x14ac:dyDescent="0.3">
      <c r="A225" s="114"/>
      <c r="B225" s="115"/>
      <c r="C225" s="115"/>
      <c r="D225" s="116"/>
      <c r="E225" s="31" t="s">
        <v>93</v>
      </c>
      <c r="F225" s="29">
        <f>F220</f>
        <v>650</v>
      </c>
      <c r="G225" s="29">
        <f t="shared" ref="G225:M225" si="114">G220</f>
        <v>650</v>
      </c>
      <c r="H225" s="29">
        <f t="shared" si="114"/>
        <v>0</v>
      </c>
      <c r="I225" s="29">
        <f t="shared" si="114"/>
        <v>0</v>
      </c>
      <c r="J225" s="29">
        <f t="shared" si="114"/>
        <v>0</v>
      </c>
      <c r="K225" s="29">
        <f t="shared" si="114"/>
        <v>0</v>
      </c>
      <c r="L225" s="29">
        <f t="shared" si="114"/>
        <v>0</v>
      </c>
      <c r="M225" s="29">
        <f t="shared" si="114"/>
        <v>0</v>
      </c>
    </row>
    <row r="226" spans="1:16" ht="15.75" thickBot="1" x14ac:dyDescent="0.3">
      <c r="A226" s="108" t="s">
        <v>211</v>
      </c>
      <c r="B226" s="109"/>
      <c r="C226" s="109"/>
      <c r="D226" s="110"/>
      <c r="E226" s="31" t="s">
        <v>89</v>
      </c>
      <c r="F226" s="64">
        <f>F227+F228</f>
        <v>1240616.55806</v>
      </c>
      <c r="G226" s="64">
        <f>G227+G228</f>
        <v>380769.70906000002</v>
      </c>
      <c r="H226" s="64">
        <f t="shared" ref="H226:M226" si="115">H227+H228</f>
        <v>183998</v>
      </c>
      <c r="I226" s="64">
        <f t="shared" si="115"/>
        <v>134133.185</v>
      </c>
      <c r="J226" s="64">
        <f t="shared" si="115"/>
        <v>134816.764</v>
      </c>
      <c r="K226" s="64">
        <f t="shared" si="115"/>
        <v>132010.5</v>
      </c>
      <c r="L226" s="64">
        <f t="shared" si="115"/>
        <v>135573.79999999999</v>
      </c>
      <c r="M226" s="64">
        <f t="shared" si="115"/>
        <v>139314.6</v>
      </c>
      <c r="N226" s="65">
        <f>H226-H159-H156</f>
        <v>90365.4</v>
      </c>
      <c r="O226" s="16">
        <v>183998</v>
      </c>
      <c r="P226" s="65">
        <f>O226-H226</f>
        <v>0</v>
      </c>
    </row>
    <row r="227" spans="1:16" ht="45.75" thickBot="1" x14ac:dyDescent="0.3">
      <c r="A227" s="111"/>
      <c r="B227" s="112"/>
      <c r="C227" s="112"/>
      <c r="D227" s="113"/>
      <c r="E227" s="31" t="s">
        <v>93</v>
      </c>
      <c r="F227" s="29">
        <f t="shared" ref="F227:F228" si="116">SUM(G227:M227)</f>
        <v>395452.4795999999</v>
      </c>
      <c r="G227" s="29">
        <f>G68+G76+G137+G171+G197+G225+G216</f>
        <v>227113.0796</v>
      </c>
      <c r="H227" s="29">
        <f t="shared" ref="H227:M227" si="117">H68+H76+H137+H171+H197+H225+H216</f>
        <v>26364.5</v>
      </c>
      <c r="I227" s="29">
        <f t="shared" si="117"/>
        <v>26736.6</v>
      </c>
      <c r="J227" s="29">
        <f t="shared" si="117"/>
        <v>26736.6</v>
      </c>
      <c r="K227" s="29">
        <f t="shared" si="117"/>
        <v>28073.5</v>
      </c>
      <c r="L227" s="29">
        <f t="shared" si="117"/>
        <v>29477.100000000002</v>
      </c>
      <c r="M227" s="29">
        <f t="shared" si="117"/>
        <v>30951.1</v>
      </c>
      <c r="N227" s="65">
        <f>H227</f>
        <v>26364.5</v>
      </c>
    </row>
    <row r="228" spans="1:16" ht="15.75" thickBot="1" x14ac:dyDescent="0.3">
      <c r="A228" s="114"/>
      <c r="B228" s="115"/>
      <c r="C228" s="115"/>
      <c r="D228" s="116"/>
      <c r="E228" s="31" t="s">
        <v>21</v>
      </c>
      <c r="F228" s="29">
        <f t="shared" si="116"/>
        <v>845164.07845999999</v>
      </c>
      <c r="G228" s="64">
        <f>G67+G77+G89+G138+G154+G172+G198+G210+G214+G223</f>
        <v>153656.62946</v>
      </c>
      <c r="H228" s="64">
        <f t="shared" ref="H228:M228" si="118">H67+H77+H89+H138+H154+H172+H198+H210+H214+H223</f>
        <v>157633.5</v>
      </c>
      <c r="I228" s="64">
        <f t="shared" si="118"/>
        <v>107396.58500000001</v>
      </c>
      <c r="J228" s="64">
        <f t="shared" si="118"/>
        <v>108080.164</v>
      </c>
      <c r="K228" s="64">
        <f t="shared" si="118"/>
        <v>103937</v>
      </c>
      <c r="L228" s="64">
        <f t="shared" si="118"/>
        <v>106096.7</v>
      </c>
      <c r="M228" s="64">
        <f t="shared" si="118"/>
        <v>108363.5</v>
      </c>
      <c r="N228" s="65">
        <f>H228-H173</f>
        <v>64000.899999999994</v>
      </c>
    </row>
    <row r="229" spans="1:16" ht="30" customHeight="1" thickBot="1" x14ac:dyDescent="0.3">
      <c r="A229" s="103" t="s">
        <v>212</v>
      </c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5"/>
    </row>
    <row r="230" spans="1:16" ht="45" customHeight="1" thickBot="1" x14ac:dyDescent="0.3">
      <c r="A230" s="103" t="s">
        <v>213</v>
      </c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5"/>
    </row>
    <row r="231" spans="1:16" ht="45" customHeight="1" thickBot="1" x14ac:dyDescent="0.3">
      <c r="A231" s="100" t="s">
        <v>214</v>
      </c>
      <c r="B231" s="100" t="s">
        <v>215</v>
      </c>
      <c r="C231" s="100" t="s">
        <v>20</v>
      </c>
      <c r="D231" s="109" t="s">
        <v>20</v>
      </c>
      <c r="E231" s="34" t="s">
        <v>89</v>
      </c>
      <c r="F231" s="49">
        <f>F232+F235</f>
        <v>1040</v>
      </c>
      <c r="G231" s="49">
        <f t="shared" ref="G231:M231" si="119">G232+G235</f>
        <v>180</v>
      </c>
      <c r="H231" s="49">
        <f t="shared" si="119"/>
        <v>160</v>
      </c>
      <c r="I231" s="49">
        <f t="shared" si="119"/>
        <v>140</v>
      </c>
      <c r="J231" s="49">
        <f t="shared" si="119"/>
        <v>140</v>
      </c>
      <c r="K231" s="49">
        <f t="shared" si="119"/>
        <v>140</v>
      </c>
      <c r="L231" s="49">
        <f t="shared" si="119"/>
        <v>140</v>
      </c>
      <c r="M231" s="49">
        <f t="shared" si="119"/>
        <v>140</v>
      </c>
    </row>
    <row r="232" spans="1:16" ht="57.75" customHeight="1" thickBot="1" x14ac:dyDescent="0.3">
      <c r="A232" s="101"/>
      <c r="B232" s="101"/>
      <c r="C232" s="101"/>
      <c r="D232" s="112"/>
      <c r="E232" s="100" t="s">
        <v>21</v>
      </c>
      <c r="F232" s="106">
        <f>SUM(G232:M234)</f>
        <v>980</v>
      </c>
      <c r="G232" s="106">
        <f>G238+G242+G246</f>
        <v>140</v>
      </c>
      <c r="H232" s="106">
        <f>H238+H242+H246</f>
        <v>140</v>
      </c>
      <c r="I232" s="49">
        <f>I238+I242+I246</f>
        <v>140</v>
      </c>
      <c r="J232" s="68">
        <f>I232</f>
        <v>140</v>
      </c>
      <c r="K232" s="68">
        <f>J232</f>
        <v>140</v>
      </c>
      <c r="L232" s="68">
        <f>K232</f>
        <v>140</v>
      </c>
      <c r="M232" s="49">
        <f>L232</f>
        <v>140</v>
      </c>
    </row>
    <row r="233" spans="1:16" ht="15.75" hidden="1" customHeight="1" thickBot="1" x14ac:dyDescent="0.3">
      <c r="A233" s="101"/>
      <c r="B233" s="101"/>
      <c r="C233" s="101"/>
      <c r="D233" s="112"/>
      <c r="E233" s="101"/>
      <c r="F233" s="150"/>
      <c r="G233" s="150"/>
      <c r="H233" s="150"/>
      <c r="I233" s="49"/>
      <c r="J233" s="68">
        <f t="shared" ref="J233:J269" si="120">I233</f>
        <v>0</v>
      </c>
      <c r="K233" s="68">
        <f t="shared" ref="K233:L261" si="121">J233</f>
        <v>0</v>
      </c>
      <c r="L233" s="68">
        <f t="shared" si="121"/>
        <v>0</v>
      </c>
      <c r="M233" s="49"/>
    </row>
    <row r="234" spans="1:16" ht="15.75" hidden="1" customHeight="1" thickBot="1" x14ac:dyDescent="0.3">
      <c r="A234" s="101"/>
      <c r="B234" s="101"/>
      <c r="C234" s="101"/>
      <c r="D234" s="112"/>
      <c r="E234" s="102"/>
      <c r="F234" s="107"/>
      <c r="G234" s="107"/>
      <c r="H234" s="107"/>
      <c r="I234" s="49">
        <v>0</v>
      </c>
      <c r="J234" s="68">
        <f t="shared" si="120"/>
        <v>0</v>
      </c>
      <c r="K234" s="68">
        <f t="shared" si="121"/>
        <v>0</v>
      </c>
      <c r="L234" s="68">
        <f t="shared" si="121"/>
        <v>0</v>
      </c>
      <c r="M234" s="49">
        <v>0</v>
      </c>
    </row>
    <row r="235" spans="1:16" x14ac:dyDescent="0.25">
      <c r="A235" s="101"/>
      <c r="B235" s="101"/>
      <c r="C235" s="101"/>
      <c r="D235" s="112"/>
      <c r="E235" s="100" t="s">
        <v>63</v>
      </c>
      <c r="F235" s="106">
        <f>G235+H235+M235</f>
        <v>60</v>
      </c>
      <c r="G235" s="106">
        <f>G244</f>
        <v>40</v>
      </c>
      <c r="H235" s="106">
        <f t="shared" ref="H235" si="122">H244</f>
        <v>20</v>
      </c>
      <c r="I235" s="106">
        <f t="shared" ref="I235" si="123">I244</f>
        <v>0</v>
      </c>
      <c r="J235" s="106">
        <f t="shared" si="120"/>
        <v>0</v>
      </c>
      <c r="K235" s="106">
        <f t="shared" si="121"/>
        <v>0</v>
      </c>
      <c r="L235" s="106">
        <f t="shared" si="121"/>
        <v>0</v>
      </c>
      <c r="M235" s="106">
        <f>L235</f>
        <v>0</v>
      </c>
    </row>
    <row r="236" spans="1:16" x14ac:dyDescent="0.25">
      <c r="A236" s="101"/>
      <c r="B236" s="101"/>
      <c r="C236" s="101"/>
      <c r="D236" s="112"/>
      <c r="E236" s="101"/>
      <c r="F236" s="150"/>
      <c r="G236" s="150"/>
      <c r="H236" s="150"/>
      <c r="I236" s="150"/>
      <c r="J236" s="150"/>
      <c r="K236" s="150"/>
      <c r="L236" s="150"/>
      <c r="M236" s="150"/>
    </row>
    <row r="237" spans="1:16" ht="15.75" thickBot="1" x14ac:dyDescent="0.3">
      <c r="A237" s="102"/>
      <c r="B237" s="102"/>
      <c r="C237" s="102"/>
      <c r="D237" s="115"/>
      <c r="E237" s="102"/>
      <c r="F237" s="107"/>
      <c r="G237" s="107"/>
      <c r="H237" s="107"/>
      <c r="I237" s="107"/>
      <c r="J237" s="107"/>
      <c r="K237" s="107"/>
      <c r="L237" s="107"/>
      <c r="M237" s="107"/>
    </row>
    <row r="238" spans="1:16" ht="70.5" customHeight="1" thickBot="1" x14ac:dyDescent="0.3">
      <c r="A238" s="100" t="s">
        <v>216</v>
      </c>
      <c r="B238" s="100" t="s">
        <v>217</v>
      </c>
      <c r="C238" s="100" t="s">
        <v>20</v>
      </c>
      <c r="D238" s="100" t="s">
        <v>20</v>
      </c>
      <c r="E238" s="100" t="s">
        <v>21</v>
      </c>
      <c r="F238" s="106">
        <f>SUM(G238:M240)</f>
        <v>70</v>
      </c>
      <c r="G238" s="106">
        <v>10</v>
      </c>
      <c r="H238" s="106">
        <v>10</v>
      </c>
      <c r="I238" s="49">
        <v>10</v>
      </c>
      <c r="J238" s="68">
        <f t="shared" si="120"/>
        <v>10</v>
      </c>
      <c r="K238" s="68">
        <f t="shared" si="121"/>
        <v>10</v>
      </c>
      <c r="L238" s="68">
        <f t="shared" si="121"/>
        <v>10</v>
      </c>
      <c r="M238" s="49">
        <f>L238</f>
        <v>10</v>
      </c>
    </row>
    <row r="239" spans="1:16" ht="15.75" hidden="1" customHeight="1" thickBot="1" x14ac:dyDescent="0.3">
      <c r="A239" s="101"/>
      <c r="B239" s="101"/>
      <c r="C239" s="101"/>
      <c r="D239" s="101"/>
      <c r="E239" s="101"/>
      <c r="F239" s="150"/>
      <c r="G239" s="150"/>
      <c r="H239" s="150"/>
      <c r="I239" s="49"/>
      <c r="J239" s="68">
        <f t="shared" si="120"/>
        <v>0</v>
      </c>
      <c r="K239" s="68">
        <f t="shared" si="121"/>
        <v>0</v>
      </c>
      <c r="L239" s="68">
        <f t="shared" si="121"/>
        <v>0</v>
      </c>
      <c r="M239" s="49"/>
    </row>
    <row r="240" spans="1:16" ht="15.75" hidden="1" customHeight="1" thickBot="1" x14ac:dyDescent="0.3">
      <c r="A240" s="102"/>
      <c r="B240" s="102"/>
      <c r="C240" s="102"/>
      <c r="D240" s="102"/>
      <c r="E240" s="102"/>
      <c r="F240" s="107"/>
      <c r="G240" s="107"/>
      <c r="H240" s="107"/>
      <c r="I240" s="49">
        <v>0</v>
      </c>
      <c r="J240" s="68">
        <f t="shared" si="120"/>
        <v>0</v>
      </c>
      <c r="K240" s="68">
        <f t="shared" si="121"/>
        <v>0</v>
      </c>
      <c r="L240" s="68">
        <f t="shared" si="121"/>
        <v>0</v>
      </c>
      <c r="M240" s="49">
        <v>0</v>
      </c>
    </row>
    <row r="241" spans="1:13" ht="30.75" customHeight="1" thickBot="1" x14ac:dyDescent="0.3">
      <c r="A241" s="100" t="s">
        <v>218</v>
      </c>
      <c r="B241" s="100" t="s">
        <v>219</v>
      </c>
      <c r="C241" s="100" t="s">
        <v>20</v>
      </c>
      <c r="D241" s="100" t="s">
        <v>20</v>
      </c>
      <c r="E241" s="34" t="s">
        <v>89</v>
      </c>
      <c r="F241" s="49">
        <f>F242+F244</f>
        <v>410</v>
      </c>
      <c r="G241" s="49">
        <f t="shared" ref="G241:M241" si="124">G242+G244</f>
        <v>90</v>
      </c>
      <c r="H241" s="49">
        <f t="shared" si="124"/>
        <v>70</v>
      </c>
      <c r="I241" s="49">
        <f t="shared" si="124"/>
        <v>50</v>
      </c>
      <c r="J241" s="49">
        <f t="shared" si="124"/>
        <v>50</v>
      </c>
      <c r="K241" s="49">
        <f t="shared" si="124"/>
        <v>50</v>
      </c>
      <c r="L241" s="49">
        <f t="shared" si="124"/>
        <v>50</v>
      </c>
      <c r="M241" s="49">
        <f t="shared" si="124"/>
        <v>50</v>
      </c>
    </row>
    <row r="242" spans="1:13" ht="33" customHeight="1" thickBot="1" x14ac:dyDescent="0.3">
      <c r="A242" s="101"/>
      <c r="B242" s="101"/>
      <c r="C242" s="101"/>
      <c r="D242" s="101"/>
      <c r="E242" s="100" t="s">
        <v>21</v>
      </c>
      <c r="F242" s="106">
        <f>SUM(G242:M243)</f>
        <v>350</v>
      </c>
      <c r="G242" s="106">
        <v>50</v>
      </c>
      <c r="H242" s="106">
        <v>50</v>
      </c>
      <c r="I242" s="49">
        <v>50</v>
      </c>
      <c r="J242" s="68">
        <f t="shared" si="120"/>
        <v>50</v>
      </c>
      <c r="K242" s="68">
        <f t="shared" si="121"/>
        <v>50</v>
      </c>
      <c r="L242" s="68">
        <f t="shared" si="121"/>
        <v>50</v>
      </c>
      <c r="M242" s="49">
        <f>L242</f>
        <v>50</v>
      </c>
    </row>
    <row r="243" spans="1:13" ht="15.75" hidden="1" customHeight="1" thickBot="1" x14ac:dyDescent="0.3">
      <c r="A243" s="101"/>
      <c r="B243" s="101"/>
      <c r="C243" s="101"/>
      <c r="D243" s="101"/>
      <c r="E243" s="102"/>
      <c r="F243" s="107"/>
      <c r="G243" s="107"/>
      <c r="H243" s="107"/>
      <c r="I243" s="49">
        <v>0</v>
      </c>
      <c r="J243" s="68">
        <f t="shared" si="120"/>
        <v>0</v>
      </c>
      <c r="K243" s="68">
        <f t="shared" si="121"/>
        <v>0</v>
      </c>
      <c r="L243" s="68">
        <f t="shared" si="121"/>
        <v>0</v>
      </c>
      <c r="M243" s="49">
        <v>0</v>
      </c>
    </row>
    <row r="244" spans="1:13" x14ac:dyDescent="0.25">
      <c r="A244" s="101"/>
      <c r="B244" s="101"/>
      <c r="C244" s="101"/>
      <c r="D244" s="101"/>
      <c r="E244" s="100" t="s">
        <v>63</v>
      </c>
      <c r="F244" s="106">
        <f>SUM(G244:M245)</f>
        <v>60</v>
      </c>
      <c r="G244" s="106">
        <v>40</v>
      </c>
      <c r="H244" s="106">
        <v>20</v>
      </c>
      <c r="I244" s="106">
        <v>0</v>
      </c>
      <c r="J244" s="106">
        <f t="shared" si="120"/>
        <v>0</v>
      </c>
      <c r="K244" s="106">
        <f t="shared" si="121"/>
        <v>0</v>
      </c>
      <c r="L244" s="106">
        <f t="shared" si="121"/>
        <v>0</v>
      </c>
      <c r="M244" s="106">
        <f>L244</f>
        <v>0</v>
      </c>
    </row>
    <row r="245" spans="1:13" ht="15.75" thickBot="1" x14ac:dyDescent="0.3">
      <c r="A245" s="102"/>
      <c r="B245" s="102"/>
      <c r="C245" s="102"/>
      <c r="D245" s="102"/>
      <c r="E245" s="102"/>
      <c r="F245" s="107"/>
      <c r="G245" s="107"/>
      <c r="H245" s="107"/>
      <c r="I245" s="107"/>
      <c r="J245" s="107"/>
      <c r="K245" s="107"/>
      <c r="L245" s="107"/>
      <c r="M245" s="107"/>
    </row>
    <row r="246" spans="1:13" ht="77.25" customHeight="1" thickBot="1" x14ac:dyDescent="0.3">
      <c r="A246" s="100" t="s">
        <v>220</v>
      </c>
      <c r="B246" s="100" t="s">
        <v>221</v>
      </c>
      <c r="C246" s="100" t="s">
        <v>20</v>
      </c>
      <c r="D246" s="100" t="s">
        <v>20</v>
      </c>
      <c r="E246" s="100" t="s">
        <v>21</v>
      </c>
      <c r="F246" s="106">
        <f>SUM(G246:M248)</f>
        <v>560</v>
      </c>
      <c r="G246" s="106">
        <v>80</v>
      </c>
      <c r="H246" s="106">
        <v>80</v>
      </c>
      <c r="I246" s="67">
        <v>80</v>
      </c>
      <c r="J246" s="68">
        <f t="shared" si="120"/>
        <v>80</v>
      </c>
      <c r="K246" s="68">
        <f t="shared" si="121"/>
        <v>80</v>
      </c>
      <c r="L246" s="68">
        <f t="shared" si="121"/>
        <v>80</v>
      </c>
      <c r="M246" s="67">
        <f>L246</f>
        <v>80</v>
      </c>
    </row>
    <row r="247" spans="1:13" ht="15.75" hidden="1" customHeight="1" thickBot="1" x14ac:dyDescent="0.3">
      <c r="A247" s="101"/>
      <c r="B247" s="101"/>
      <c r="C247" s="101"/>
      <c r="D247" s="101"/>
      <c r="E247" s="101"/>
      <c r="F247" s="150"/>
      <c r="G247" s="150"/>
      <c r="H247" s="150"/>
      <c r="I247" s="67"/>
      <c r="J247" s="68">
        <f t="shared" si="120"/>
        <v>0</v>
      </c>
      <c r="K247" s="68">
        <f t="shared" si="121"/>
        <v>0</v>
      </c>
      <c r="L247" s="68">
        <f t="shared" si="121"/>
        <v>0</v>
      </c>
      <c r="M247" s="67"/>
    </row>
    <row r="248" spans="1:13" ht="15.75" hidden="1" customHeight="1" thickBot="1" x14ac:dyDescent="0.3">
      <c r="A248" s="102"/>
      <c r="B248" s="102"/>
      <c r="C248" s="102"/>
      <c r="D248" s="102"/>
      <c r="E248" s="102"/>
      <c r="F248" s="107"/>
      <c r="G248" s="107"/>
      <c r="H248" s="107"/>
      <c r="I248" s="29">
        <v>0</v>
      </c>
      <c r="J248" s="68">
        <f t="shared" si="120"/>
        <v>0</v>
      </c>
      <c r="K248" s="68">
        <f t="shared" si="121"/>
        <v>0</v>
      </c>
      <c r="L248" s="68">
        <f t="shared" si="121"/>
        <v>0</v>
      </c>
      <c r="M248" s="29">
        <v>0</v>
      </c>
    </row>
    <row r="249" spans="1:13" ht="85.5" customHeight="1" thickBot="1" x14ac:dyDescent="0.3">
      <c r="A249" s="100" t="s">
        <v>222</v>
      </c>
      <c r="B249" s="100" t="s">
        <v>223</v>
      </c>
      <c r="C249" s="100" t="s">
        <v>20</v>
      </c>
      <c r="D249" s="100" t="s">
        <v>20</v>
      </c>
      <c r="E249" s="100" t="s">
        <v>21</v>
      </c>
      <c r="F249" s="106">
        <f>SUM(G249:M251)</f>
        <v>420</v>
      </c>
      <c r="G249" s="106">
        <f>60</f>
        <v>60</v>
      </c>
      <c r="H249" s="106">
        <v>60</v>
      </c>
      <c r="I249" s="49">
        <v>60</v>
      </c>
      <c r="J249" s="68">
        <f t="shared" si="120"/>
        <v>60</v>
      </c>
      <c r="K249" s="68">
        <f t="shared" si="121"/>
        <v>60</v>
      </c>
      <c r="L249" s="68">
        <f t="shared" si="121"/>
        <v>60</v>
      </c>
      <c r="M249" s="49">
        <f>L249</f>
        <v>60</v>
      </c>
    </row>
    <row r="250" spans="1:13" ht="15.75" hidden="1" customHeight="1" thickBot="1" x14ac:dyDescent="0.3">
      <c r="A250" s="101"/>
      <c r="B250" s="101"/>
      <c r="C250" s="101"/>
      <c r="D250" s="101"/>
      <c r="E250" s="101"/>
      <c r="F250" s="150"/>
      <c r="G250" s="150"/>
      <c r="H250" s="150"/>
      <c r="I250" s="49"/>
      <c r="J250" s="68">
        <f t="shared" si="120"/>
        <v>0</v>
      </c>
      <c r="K250" s="68">
        <f t="shared" si="121"/>
        <v>0</v>
      </c>
      <c r="L250" s="68">
        <f t="shared" si="121"/>
        <v>0</v>
      </c>
      <c r="M250" s="49"/>
    </row>
    <row r="251" spans="1:13" ht="15.75" hidden="1" customHeight="1" thickBot="1" x14ac:dyDescent="0.3">
      <c r="A251" s="102"/>
      <c r="B251" s="102"/>
      <c r="C251" s="102"/>
      <c r="D251" s="102"/>
      <c r="E251" s="102"/>
      <c r="F251" s="107"/>
      <c r="G251" s="107"/>
      <c r="H251" s="107"/>
      <c r="I251" s="49">
        <v>0</v>
      </c>
      <c r="J251" s="68">
        <f t="shared" si="120"/>
        <v>0</v>
      </c>
      <c r="K251" s="68">
        <f t="shared" si="121"/>
        <v>0</v>
      </c>
      <c r="L251" s="68">
        <f t="shared" si="121"/>
        <v>0</v>
      </c>
      <c r="M251" s="49">
        <v>0</v>
      </c>
    </row>
    <row r="252" spans="1:13" ht="80.25" customHeight="1" thickBot="1" x14ac:dyDescent="0.3">
      <c r="A252" s="100" t="s">
        <v>224</v>
      </c>
      <c r="B252" s="100" t="s">
        <v>225</v>
      </c>
      <c r="C252" s="100" t="s">
        <v>20</v>
      </c>
      <c r="D252" s="100" t="s">
        <v>20</v>
      </c>
      <c r="E252" s="100" t="s">
        <v>21</v>
      </c>
      <c r="F252" s="106">
        <f>SUM(G252:M254)</f>
        <v>1673</v>
      </c>
      <c r="G252" s="106">
        <v>239</v>
      </c>
      <c r="H252" s="106">
        <v>239</v>
      </c>
      <c r="I252" s="49">
        <v>239</v>
      </c>
      <c r="J252" s="68">
        <f t="shared" si="120"/>
        <v>239</v>
      </c>
      <c r="K252" s="68">
        <f t="shared" si="121"/>
        <v>239</v>
      </c>
      <c r="L252" s="68">
        <f t="shared" si="121"/>
        <v>239</v>
      </c>
      <c r="M252" s="49">
        <f>L252</f>
        <v>239</v>
      </c>
    </row>
    <row r="253" spans="1:13" ht="15.75" hidden="1" customHeight="1" thickBot="1" x14ac:dyDescent="0.3">
      <c r="A253" s="101"/>
      <c r="B253" s="101"/>
      <c r="C253" s="101"/>
      <c r="D253" s="101"/>
      <c r="E253" s="101"/>
      <c r="F253" s="150"/>
      <c r="G253" s="150"/>
      <c r="H253" s="150"/>
      <c r="I253" s="49"/>
      <c r="J253" s="68">
        <f t="shared" si="120"/>
        <v>0</v>
      </c>
      <c r="K253" s="68">
        <f t="shared" si="121"/>
        <v>0</v>
      </c>
      <c r="L253" s="68">
        <f t="shared" si="121"/>
        <v>0</v>
      </c>
      <c r="M253" s="49"/>
    </row>
    <row r="254" spans="1:13" ht="15.75" hidden="1" customHeight="1" thickBot="1" x14ac:dyDescent="0.3">
      <c r="A254" s="102"/>
      <c r="B254" s="102"/>
      <c r="C254" s="102"/>
      <c r="D254" s="102"/>
      <c r="E254" s="102"/>
      <c r="F254" s="107"/>
      <c r="G254" s="107"/>
      <c r="H254" s="107"/>
      <c r="I254" s="49">
        <v>0</v>
      </c>
      <c r="J254" s="68">
        <f t="shared" si="120"/>
        <v>0</v>
      </c>
      <c r="K254" s="68">
        <f t="shared" si="121"/>
        <v>0</v>
      </c>
      <c r="L254" s="68">
        <f t="shared" si="121"/>
        <v>0</v>
      </c>
      <c r="M254" s="49">
        <v>0</v>
      </c>
    </row>
    <row r="255" spans="1:13" ht="78.75" customHeight="1" thickBot="1" x14ac:dyDescent="0.3">
      <c r="A255" s="100" t="s">
        <v>226</v>
      </c>
      <c r="B255" s="100" t="s">
        <v>227</v>
      </c>
      <c r="C255" s="100" t="s">
        <v>20</v>
      </c>
      <c r="D255" s="100" t="s">
        <v>20</v>
      </c>
      <c r="E255" s="100" t="s">
        <v>21</v>
      </c>
      <c r="F255" s="106">
        <f>F258+F261</f>
        <v>770</v>
      </c>
      <c r="G255" s="106">
        <f>G258+G261</f>
        <v>110</v>
      </c>
      <c r="H255" s="106">
        <f>H258+H261</f>
        <v>110</v>
      </c>
      <c r="I255" s="49">
        <v>110</v>
      </c>
      <c r="J255" s="68">
        <f t="shared" si="120"/>
        <v>110</v>
      </c>
      <c r="K255" s="68">
        <f t="shared" si="121"/>
        <v>110</v>
      </c>
      <c r="L255" s="68">
        <f t="shared" si="121"/>
        <v>110</v>
      </c>
      <c r="M255" s="49">
        <f>L255</f>
        <v>110</v>
      </c>
    </row>
    <row r="256" spans="1:13" ht="15.75" hidden="1" customHeight="1" thickBot="1" x14ac:dyDescent="0.3">
      <c r="A256" s="101"/>
      <c r="B256" s="101"/>
      <c r="C256" s="101"/>
      <c r="D256" s="101"/>
      <c r="E256" s="101"/>
      <c r="F256" s="150"/>
      <c r="G256" s="150"/>
      <c r="H256" s="150"/>
      <c r="I256" s="49"/>
      <c r="J256" s="68">
        <f t="shared" si="120"/>
        <v>0</v>
      </c>
      <c r="K256" s="68">
        <f t="shared" si="121"/>
        <v>0</v>
      </c>
      <c r="L256" s="68">
        <f t="shared" si="121"/>
        <v>0</v>
      </c>
      <c r="M256" s="49"/>
    </row>
    <row r="257" spans="1:14" ht="15.75" hidden="1" customHeight="1" thickBot="1" x14ac:dyDescent="0.3">
      <c r="A257" s="102"/>
      <c r="B257" s="102"/>
      <c r="C257" s="102"/>
      <c r="D257" s="102"/>
      <c r="E257" s="102"/>
      <c r="F257" s="107"/>
      <c r="G257" s="107"/>
      <c r="H257" s="107"/>
      <c r="I257" s="49">
        <v>0</v>
      </c>
      <c r="J257" s="68">
        <f t="shared" si="120"/>
        <v>0</v>
      </c>
      <c r="K257" s="68">
        <f t="shared" si="121"/>
        <v>0</v>
      </c>
      <c r="L257" s="68">
        <f t="shared" si="121"/>
        <v>0</v>
      </c>
      <c r="M257" s="49">
        <v>0</v>
      </c>
    </row>
    <row r="258" spans="1:14" ht="74.25" customHeight="1" thickBot="1" x14ac:dyDescent="0.3">
      <c r="A258" s="100" t="s">
        <v>228</v>
      </c>
      <c r="B258" s="100" t="s">
        <v>229</v>
      </c>
      <c r="C258" s="100" t="s">
        <v>20</v>
      </c>
      <c r="D258" s="100" t="s">
        <v>20</v>
      </c>
      <c r="E258" s="100" t="s">
        <v>21</v>
      </c>
      <c r="F258" s="106">
        <f t="shared" ref="F258" si="125">SUM(G258:M260)</f>
        <v>350</v>
      </c>
      <c r="G258" s="106">
        <v>50</v>
      </c>
      <c r="H258" s="106">
        <v>50</v>
      </c>
      <c r="I258" s="49">
        <v>50</v>
      </c>
      <c r="J258" s="68">
        <f t="shared" si="120"/>
        <v>50</v>
      </c>
      <c r="K258" s="68">
        <f t="shared" si="121"/>
        <v>50</v>
      </c>
      <c r="L258" s="68">
        <f t="shared" si="121"/>
        <v>50</v>
      </c>
      <c r="M258" s="49">
        <f>L258</f>
        <v>50</v>
      </c>
    </row>
    <row r="259" spans="1:14" ht="15.75" hidden="1" customHeight="1" thickBot="1" x14ac:dyDescent="0.3">
      <c r="A259" s="101"/>
      <c r="B259" s="101"/>
      <c r="C259" s="101"/>
      <c r="D259" s="101"/>
      <c r="E259" s="101"/>
      <c r="F259" s="150"/>
      <c r="G259" s="150"/>
      <c r="H259" s="150"/>
      <c r="I259" s="49"/>
      <c r="J259" s="68">
        <f t="shared" si="120"/>
        <v>0</v>
      </c>
      <c r="K259" s="68">
        <f t="shared" si="121"/>
        <v>0</v>
      </c>
      <c r="L259" s="68">
        <f t="shared" si="121"/>
        <v>0</v>
      </c>
      <c r="M259" s="49"/>
    </row>
    <row r="260" spans="1:14" ht="15.75" hidden="1" customHeight="1" thickBot="1" x14ac:dyDescent="0.3">
      <c r="A260" s="102"/>
      <c r="B260" s="102"/>
      <c r="C260" s="102"/>
      <c r="D260" s="102"/>
      <c r="E260" s="102"/>
      <c r="F260" s="107"/>
      <c r="G260" s="107"/>
      <c r="H260" s="107"/>
      <c r="I260" s="49">
        <v>0</v>
      </c>
      <c r="J260" s="68">
        <f t="shared" si="120"/>
        <v>0</v>
      </c>
      <c r="K260" s="68">
        <f t="shared" si="121"/>
        <v>0</v>
      </c>
      <c r="L260" s="68">
        <f t="shared" si="121"/>
        <v>0</v>
      </c>
      <c r="M260" s="49">
        <v>0</v>
      </c>
    </row>
    <row r="261" spans="1:14" ht="78" customHeight="1" thickBot="1" x14ac:dyDescent="0.3">
      <c r="A261" s="100" t="s">
        <v>230</v>
      </c>
      <c r="B261" s="100" t="s">
        <v>231</v>
      </c>
      <c r="C261" s="100" t="s">
        <v>20</v>
      </c>
      <c r="D261" s="100" t="s">
        <v>20</v>
      </c>
      <c r="E261" s="100" t="s">
        <v>21</v>
      </c>
      <c r="F261" s="106">
        <f t="shared" ref="F261" si="126">SUM(G261:M263)</f>
        <v>420</v>
      </c>
      <c r="G261" s="106">
        <v>60</v>
      </c>
      <c r="H261" s="106">
        <v>60</v>
      </c>
      <c r="I261" s="49">
        <v>60</v>
      </c>
      <c r="J261" s="68">
        <f t="shared" si="120"/>
        <v>60</v>
      </c>
      <c r="K261" s="68">
        <f t="shared" si="121"/>
        <v>60</v>
      </c>
      <c r="L261" s="68">
        <f t="shared" si="121"/>
        <v>60</v>
      </c>
      <c r="M261" s="49">
        <f>L261</f>
        <v>60</v>
      </c>
    </row>
    <row r="262" spans="1:14" ht="15.75" hidden="1" customHeight="1" thickBot="1" x14ac:dyDescent="0.3">
      <c r="A262" s="101"/>
      <c r="B262" s="101"/>
      <c r="C262" s="101"/>
      <c r="D262" s="101"/>
      <c r="E262" s="101"/>
      <c r="F262" s="150"/>
      <c r="G262" s="150"/>
      <c r="H262" s="150"/>
      <c r="I262" s="67"/>
      <c r="J262" s="68">
        <f t="shared" si="120"/>
        <v>0</v>
      </c>
      <c r="K262" s="67"/>
      <c r="L262" s="67"/>
      <c r="M262" s="67"/>
    </row>
    <row r="263" spans="1:14" ht="15.75" hidden="1" customHeight="1" thickBot="1" x14ac:dyDescent="0.3">
      <c r="A263" s="102"/>
      <c r="B263" s="102"/>
      <c r="C263" s="102"/>
      <c r="D263" s="102"/>
      <c r="E263" s="102"/>
      <c r="F263" s="107"/>
      <c r="G263" s="107"/>
      <c r="H263" s="107"/>
      <c r="I263" s="29">
        <v>0</v>
      </c>
      <c r="J263" s="68">
        <f t="shared" si="120"/>
        <v>0</v>
      </c>
      <c r="K263" s="29"/>
      <c r="L263" s="29"/>
      <c r="M263" s="29">
        <v>0</v>
      </c>
    </row>
    <row r="264" spans="1:14" ht="21.75" customHeight="1" thickBot="1" x14ac:dyDescent="0.3">
      <c r="A264" s="108" t="s">
        <v>232</v>
      </c>
      <c r="B264" s="109"/>
      <c r="C264" s="109"/>
      <c r="D264" s="109"/>
      <c r="E264" s="34" t="s">
        <v>265</v>
      </c>
      <c r="F264" s="48">
        <f>F265+F266</f>
        <v>3903</v>
      </c>
      <c r="G264" s="48">
        <f t="shared" ref="G264:H264" si="127">G265+G266</f>
        <v>589</v>
      </c>
      <c r="H264" s="48">
        <f t="shared" si="127"/>
        <v>569</v>
      </c>
      <c r="I264" s="48">
        <f t="shared" ref="I264" si="128">I265+I266</f>
        <v>549</v>
      </c>
      <c r="J264" s="68">
        <f t="shared" si="120"/>
        <v>549</v>
      </c>
      <c r="K264" s="68">
        <f t="shared" ref="K264:K269" si="129">J264</f>
        <v>549</v>
      </c>
      <c r="L264" s="68">
        <f t="shared" ref="L264:L269" si="130">K264</f>
        <v>549</v>
      </c>
      <c r="M264" s="68">
        <f t="shared" ref="M264:M269" si="131">L264</f>
        <v>549</v>
      </c>
    </row>
    <row r="265" spans="1:14" ht="15.75" customHeight="1" thickBot="1" x14ac:dyDescent="0.3">
      <c r="A265" s="111"/>
      <c r="B265" s="112"/>
      <c r="C265" s="112"/>
      <c r="D265" s="112"/>
      <c r="E265" s="34" t="s">
        <v>21</v>
      </c>
      <c r="F265" s="48">
        <f>SUM(G265:M265)</f>
        <v>3843</v>
      </c>
      <c r="G265" s="48">
        <f>G232+G249+G252+G255</f>
        <v>549</v>
      </c>
      <c r="H265" s="48">
        <f>H232+H249+H252+H255</f>
        <v>549</v>
      </c>
      <c r="I265" s="48">
        <f>I232+I249+I252+I255</f>
        <v>549</v>
      </c>
      <c r="J265" s="68">
        <f t="shared" si="120"/>
        <v>549</v>
      </c>
      <c r="K265" s="68">
        <f t="shared" si="129"/>
        <v>549</v>
      </c>
      <c r="L265" s="68">
        <f t="shared" si="130"/>
        <v>549</v>
      </c>
      <c r="M265" s="68">
        <f t="shared" si="131"/>
        <v>549</v>
      </c>
    </row>
    <row r="266" spans="1:14" ht="15.75" thickBot="1" x14ac:dyDescent="0.3">
      <c r="A266" s="114"/>
      <c r="B266" s="115"/>
      <c r="C266" s="115"/>
      <c r="D266" s="115"/>
      <c r="E266" s="34" t="s">
        <v>63</v>
      </c>
      <c r="F266" s="48">
        <f>SUM(G266:M266)</f>
        <v>60</v>
      </c>
      <c r="G266" s="29">
        <f>G235</f>
        <v>40</v>
      </c>
      <c r="H266" s="29">
        <f t="shared" ref="H266" si="132">H244</f>
        <v>20</v>
      </c>
      <c r="I266" s="29">
        <f t="shared" ref="I266" si="133">I244</f>
        <v>0</v>
      </c>
      <c r="J266" s="68">
        <f t="shared" si="120"/>
        <v>0</v>
      </c>
      <c r="K266" s="68">
        <f t="shared" si="129"/>
        <v>0</v>
      </c>
      <c r="L266" s="68">
        <f t="shared" si="130"/>
        <v>0</v>
      </c>
      <c r="M266" s="68">
        <f t="shared" si="131"/>
        <v>0</v>
      </c>
    </row>
    <row r="267" spans="1:14" ht="24" customHeight="1" thickBot="1" x14ac:dyDescent="0.3">
      <c r="A267" s="154" t="s">
        <v>233</v>
      </c>
      <c r="B267" s="155"/>
      <c r="C267" s="155"/>
      <c r="D267" s="156"/>
      <c r="E267" s="31" t="s">
        <v>265</v>
      </c>
      <c r="F267" s="29">
        <f>F268+F269</f>
        <v>3903</v>
      </c>
      <c r="G267" s="29">
        <f t="shared" ref="G267:H267" si="134">G268+G269</f>
        <v>589</v>
      </c>
      <c r="H267" s="29">
        <f t="shared" si="134"/>
        <v>569</v>
      </c>
      <c r="I267" s="29">
        <f t="shared" ref="I267" si="135">I268+I269</f>
        <v>549</v>
      </c>
      <c r="J267" s="68">
        <f t="shared" si="120"/>
        <v>549</v>
      </c>
      <c r="K267" s="68">
        <f t="shared" si="129"/>
        <v>549</v>
      </c>
      <c r="L267" s="68">
        <f t="shared" si="130"/>
        <v>549</v>
      </c>
      <c r="M267" s="68">
        <f t="shared" si="131"/>
        <v>549</v>
      </c>
    </row>
    <row r="268" spans="1:14" ht="15.75" customHeight="1" thickBot="1" x14ac:dyDescent="0.3">
      <c r="A268" s="157"/>
      <c r="B268" s="158"/>
      <c r="C268" s="158"/>
      <c r="D268" s="159"/>
      <c r="E268" s="31" t="s">
        <v>21</v>
      </c>
      <c r="F268" s="48">
        <f>SUM(G268:M268)</f>
        <v>3843</v>
      </c>
      <c r="G268" s="29">
        <f>G232+G249+G252+G255</f>
        <v>549</v>
      </c>
      <c r="H268" s="29">
        <f>H232+H249+H252+H255</f>
        <v>549</v>
      </c>
      <c r="I268" s="29">
        <f>I232+I249+I252+I255</f>
        <v>549</v>
      </c>
      <c r="J268" s="68">
        <f t="shared" si="120"/>
        <v>549</v>
      </c>
      <c r="K268" s="68">
        <f t="shared" si="129"/>
        <v>549</v>
      </c>
      <c r="L268" s="68">
        <f t="shared" si="130"/>
        <v>549</v>
      </c>
      <c r="M268" s="68">
        <f t="shared" si="131"/>
        <v>549</v>
      </c>
      <c r="N268" s="16">
        <v>569</v>
      </c>
    </row>
    <row r="269" spans="1:14" ht="15.75" thickBot="1" x14ac:dyDescent="0.3">
      <c r="A269" s="160"/>
      <c r="B269" s="161"/>
      <c r="C269" s="161"/>
      <c r="D269" s="162"/>
      <c r="E269" s="36" t="s">
        <v>63</v>
      </c>
      <c r="F269" s="48">
        <f>SUM(G269:M269)</f>
        <v>60</v>
      </c>
      <c r="G269" s="37">
        <f>G244</f>
        <v>40</v>
      </c>
      <c r="H269" s="37">
        <f t="shared" ref="H269" si="136">H244</f>
        <v>20</v>
      </c>
      <c r="I269" s="37">
        <f t="shared" ref="I269" si="137">I244</f>
        <v>0</v>
      </c>
      <c r="J269" s="68">
        <f t="shared" si="120"/>
        <v>0</v>
      </c>
      <c r="K269" s="68">
        <f t="shared" si="129"/>
        <v>0</v>
      </c>
      <c r="L269" s="68">
        <f t="shared" si="130"/>
        <v>0</v>
      </c>
      <c r="M269" s="68">
        <f t="shared" si="131"/>
        <v>0</v>
      </c>
    </row>
    <row r="270" spans="1:14" ht="30" customHeight="1" thickBot="1" x14ac:dyDescent="0.3">
      <c r="A270" s="103" t="s">
        <v>234</v>
      </c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5"/>
    </row>
    <row r="271" spans="1:14" ht="15.75" thickBot="1" x14ac:dyDescent="0.3">
      <c r="A271" s="103" t="s">
        <v>235</v>
      </c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5"/>
    </row>
    <row r="272" spans="1:14" ht="45.75" thickBot="1" x14ac:dyDescent="0.3">
      <c r="A272" s="30" t="s">
        <v>236</v>
      </c>
      <c r="B272" s="31" t="s">
        <v>237</v>
      </c>
      <c r="C272" s="31" t="s">
        <v>20</v>
      </c>
      <c r="D272" s="31" t="s">
        <v>20</v>
      </c>
      <c r="E272" s="31" t="s">
        <v>21</v>
      </c>
      <c r="F272" s="29">
        <f>SUM(G272:M272)</f>
        <v>159664.77099999998</v>
      </c>
      <c r="G272" s="29">
        <f>22917.371</f>
        <v>22917.370999999999</v>
      </c>
      <c r="H272" s="29">
        <v>21724.7</v>
      </c>
      <c r="I272" s="29">
        <f>1367+302+19992</f>
        <v>21661</v>
      </c>
      <c r="J272" s="29">
        <f>1367+302+19992</f>
        <v>21661</v>
      </c>
      <c r="K272" s="29">
        <v>22744.1</v>
      </c>
      <c r="L272" s="29">
        <v>23881.3</v>
      </c>
      <c r="M272" s="29">
        <v>25075.3</v>
      </c>
      <c r="N272" s="16" t="s">
        <v>337</v>
      </c>
    </row>
    <row r="273" spans="1:17" ht="45.75" thickBot="1" x14ac:dyDescent="0.3">
      <c r="A273" s="30" t="s">
        <v>238</v>
      </c>
      <c r="B273" s="31" t="s">
        <v>239</v>
      </c>
      <c r="C273" s="31" t="s">
        <v>20</v>
      </c>
      <c r="D273" s="31" t="s">
        <v>20</v>
      </c>
      <c r="E273" s="31" t="s">
        <v>21</v>
      </c>
      <c r="F273" s="29">
        <f t="shared" ref="F273:F298" si="138">SUM(G273:M273)</f>
        <v>685972.41700000002</v>
      </c>
      <c r="G273" s="29">
        <f>96695.817</f>
        <v>96695.816999999995</v>
      </c>
      <c r="H273" s="29">
        <v>97391</v>
      </c>
      <c r="I273" s="29">
        <v>92534.399999999994</v>
      </c>
      <c r="J273" s="29">
        <v>92654.2</v>
      </c>
      <c r="K273" s="29">
        <v>97286.9</v>
      </c>
      <c r="L273" s="29">
        <v>102151.3</v>
      </c>
      <c r="M273" s="29">
        <v>107258.8</v>
      </c>
      <c r="N273" s="16" t="s">
        <v>308</v>
      </c>
    </row>
    <row r="274" spans="1:17" ht="45.75" thickBot="1" x14ac:dyDescent="0.3">
      <c r="A274" s="30" t="s">
        <v>240</v>
      </c>
      <c r="B274" s="31" t="s">
        <v>301</v>
      </c>
      <c r="C274" s="31" t="s">
        <v>20</v>
      </c>
      <c r="D274" s="31" t="s">
        <v>20</v>
      </c>
      <c r="E274" s="31" t="s">
        <v>21</v>
      </c>
      <c r="F274" s="29">
        <f t="shared" si="138"/>
        <v>5028</v>
      </c>
      <c r="G274" s="29">
        <v>0</v>
      </c>
      <c r="H274" s="29">
        <v>35.799999999999997</v>
      </c>
      <c r="I274" s="29">
        <v>934.2</v>
      </c>
      <c r="J274" s="29">
        <v>941.5</v>
      </c>
      <c r="K274" s="29">
        <v>988.6</v>
      </c>
      <c r="L274" s="29">
        <v>1038</v>
      </c>
      <c r="M274" s="29">
        <v>1089.9000000000001</v>
      </c>
      <c r="N274" s="16" t="s">
        <v>317</v>
      </c>
    </row>
    <row r="275" spans="1:17" ht="135.75" thickBot="1" x14ac:dyDescent="0.3">
      <c r="A275" s="30" t="s">
        <v>241</v>
      </c>
      <c r="B275" s="31" t="s">
        <v>280</v>
      </c>
      <c r="C275" s="31" t="s">
        <v>20</v>
      </c>
      <c r="D275" s="31" t="s">
        <v>20</v>
      </c>
      <c r="E275" s="31" t="s">
        <v>21</v>
      </c>
      <c r="F275" s="29">
        <f t="shared" si="138"/>
        <v>2813209.7736399998</v>
      </c>
      <c r="G275" s="29">
        <v>554313.56114000001</v>
      </c>
      <c r="H275" s="29">
        <v>261862.39999999999</v>
      </c>
      <c r="I275" s="29">
        <v>370823.1</v>
      </c>
      <c r="J275" s="29">
        <v>377300.21250000002</v>
      </c>
      <c r="K275" s="29">
        <v>396165.1</v>
      </c>
      <c r="L275" s="29">
        <v>415973.4</v>
      </c>
      <c r="M275" s="29">
        <v>436772</v>
      </c>
      <c r="N275" s="16" t="s">
        <v>316</v>
      </c>
    </row>
    <row r="276" spans="1:17" ht="45.75" thickBot="1" x14ac:dyDescent="0.3">
      <c r="A276" s="30" t="s">
        <v>242</v>
      </c>
      <c r="B276" s="31" t="s">
        <v>141</v>
      </c>
      <c r="C276" s="31" t="s">
        <v>20</v>
      </c>
      <c r="D276" s="31" t="s">
        <v>20</v>
      </c>
      <c r="E276" s="31" t="s">
        <v>21</v>
      </c>
      <c r="F276" s="29">
        <f t="shared" si="138"/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Q276" s="65"/>
    </row>
    <row r="277" spans="1:17" ht="90.75" thickBot="1" x14ac:dyDescent="0.3">
      <c r="A277" s="30" t="s">
        <v>243</v>
      </c>
      <c r="B277" s="31" t="s">
        <v>281</v>
      </c>
      <c r="C277" s="31" t="s">
        <v>20</v>
      </c>
      <c r="D277" s="31" t="s">
        <v>20</v>
      </c>
      <c r="E277" s="31" t="s">
        <v>21</v>
      </c>
      <c r="F277" s="29">
        <f t="shared" si="138"/>
        <v>1213206.25162</v>
      </c>
      <c r="G277" s="29">
        <v>111001.55162</v>
      </c>
      <c r="H277" s="29">
        <f>159360.2+15.1</f>
        <v>159375.30000000002</v>
      </c>
      <c r="I277" s="29">
        <v>155410.9</v>
      </c>
      <c r="J277" s="29">
        <v>182690.4</v>
      </c>
      <c r="K277" s="29">
        <v>191824.9</v>
      </c>
      <c r="L277" s="29">
        <v>201416.2</v>
      </c>
      <c r="M277" s="29">
        <v>211487</v>
      </c>
      <c r="N277" s="16" t="s">
        <v>335</v>
      </c>
    </row>
    <row r="278" spans="1:17" ht="45.75" thickBot="1" x14ac:dyDescent="0.3">
      <c r="A278" s="30" t="s">
        <v>244</v>
      </c>
      <c r="B278" s="31" t="s">
        <v>141</v>
      </c>
      <c r="C278" s="31" t="s">
        <v>20</v>
      </c>
      <c r="D278" s="31" t="s">
        <v>20</v>
      </c>
      <c r="E278" s="31" t="s">
        <v>21</v>
      </c>
      <c r="F278" s="29">
        <f t="shared" si="138"/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</row>
    <row r="279" spans="1:17" ht="45.75" customHeight="1" thickBot="1" x14ac:dyDescent="0.3">
      <c r="A279" s="100" t="s">
        <v>245</v>
      </c>
      <c r="B279" s="100" t="s">
        <v>282</v>
      </c>
      <c r="C279" s="100" t="s">
        <v>20</v>
      </c>
      <c r="D279" s="100" t="s">
        <v>20</v>
      </c>
      <c r="E279" s="31" t="s">
        <v>10</v>
      </c>
      <c r="F279" s="29">
        <f t="shared" si="138"/>
        <v>1872931.0453900001</v>
      </c>
      <c r="G279" s="29">
        <f>G280+G281</f>
        <v>257979.74539</v>
      </c>
      <c r="H279" s="29">
        <f t="shared" ref="H279:M279" si="139">H280+H281</f>
        <v>269474.7</v>
      </c>
      <c r="I279" s="29">
        <f t="shared" si="139"/>
        <v>246835.1</v>
      </c>
      <c r="J279" s="29">
        <f t="shared" si="139"/>
        <v>272012.90000000002</v>
      </c>
      <c r="K279" s="29">
        <f t="shared" si="139"/>
        <v>262213.7</v>
      </c>
      <c r="L279" s="29">
        <f t="shared" si="139"/>
        <v>275324.3</v>
      </c>
      <c r="M279" s="29">
        <f t="shared" si="139"/>
        <v>289090.59999999998</v>
      </c>
    </row>
    <row r="280" spans="1:17" ht="48.75" customHeight="1" thickBot="1" x14ac:dyDescent="0.3">
      <c r="A280" s="101"/>
      <c r="B280" s="101"/>
      <c r="C280" s="101"/>
      <c r="D280" s="101"/>
      <c r="E280" s="31" t="s">
        <v>93</v>
      </c>
      <c r="F280" s="29">
        <f t="shared" si="138"/>
        <v>66857.100000000006</v>
      </c>
      <c r="G280" s="29">
        <f>G283</f>
        <v>0</v>
      </c>
      <c r="H280" s="29">
        <f t="shared" ref="H280:M280" si="140">H283</f>
        <v>22285.7</v>
      </c>
      <c r="I280" s="29">
        <f t="shared" si="140"/>
        <v>22285.7</v>
      </c>
      <c r="J280" s="29">
        <f t="shared" si="140"/>
        <v>22285.7</v>
      </c>
      <c r="K280" s="29">
        <f t="shared" si="140"/>
        <v>0</v>
      </c>
      <c r="L280" s="29">
        <f t="shared" si="140"/>
        <v>0</v>
      </c>
      <c r="M280" s="29">
        <f t="shared" si="140"/>
        <v>0</v>
      </c>
    </row>
    <row r="281" spans="1:17" ht="15.75" thickBot="1" x14ac:dyDescent="0.3">
      <c r="A281" s="102"/>
      <c r="B281" s="102"/>
      <c r="C281" s="102"/>
      <c r="D281" s="102"/>
      <c r="E281" s="31" t="s">
        <v>21</v>
      </c>
      <c r="F281" s="29">
        <f>F282+F284</f>
        <v>1806073.94539</v>
      </c>
      <c r="G281" s="29">
        <f t="shared" ref="G281:M281" si="141">G282+G284</f>
        <v>257979.74539</v>
      </c>
      <c r="H281" s="29">
        <f>H282+H284</f>
        <v>247189</v>
      </c>
      <c r="I281" s="29">
        <f t="shared" si="141"/>
        <v>224549.4</v>
      </c>
      <c r="J281" s="29">
        <f t="shared" si="141"/>
        <v>249727.2</v>
      </c>
      <c r="K281" s="29">
        <f t="shared" si="141"/>
        <v>262213.7</v>
      </c>
      <c r="L281" s="29">
        <f t="shared" si="141"/>
        <v>275324.3</v>
      </c>
      <c r="M281" s="29">
        <f t="shared" si="141"/>
        <v>289090.59999999998</v>
      </c>
    </row>
    <row r="282" spans="1:17" ht="75.75" thickBot="1" x14ac:dyDescent="0.3">
      <c r="A282" s="30" t="s">
        <v>247</v>
      </c>
      <c r="B282" s="31" t="s">
        <v>288</v>
      </c>
      <c r="C282" s="31" t="s">
        <v>20</v>
      </c>
      <c r="D282" s="31" t="s">
        <v>20</v>
      </c>
      <c r="E282" s="31" t="s">
        <v>21</v>
      </c>
      <c r="F282" s="29">
        <f t="shared" si="138"/>
        <v>1806073.94539</v>
      </c>
      <c r="G282" s="29">
        <v>257979.74539</v>
      </c>
      <c r="H282" s="29">
        <v>247189</v>
      </c>
      <c r="I282" s="29">
        <v>224549.4</v>
      </c>
      <c r="J282" s="29">
        <v>249727.2</v>
      </c>
      <c r="K282" s="29">
        <v>262213.7</v>
      </c>
      <c r="L282" s="29">
        <v>275324.3</v>
      </c>
      <c r="M282" s="29">
        <v>289090.59999999998</v>
      </c>
      <c r="N282" s="16" t="s">
        <v>309</v>
      </c>
      <c r="Q282" s="65"/>
    </row>
    <row r="283" spans="1:17" ht="345.75" customHeight="1" thickBot="1" x14ac:dyDescent="0.3">
      <c r="A283" s="30" t="s">
        <v>249</v>
      </c>
      <c r="B283" s="31" t="s">
        <v>289</v>
      </c>
      <c r="C283" s="31" t="s">
        <v>20</v>
      </c>
      <c r="D283" s="31" t="s">
        <v>20</v>
      </c>
      <c r="E283" s="31" t="s">
        <v>93</v>
      </c>
      <c r="F283" s="29">
        <f t="shared" si="138"/>
        <v>66857.100000000006</v>
      </c>
      <c r="G283" s="29">
        <v>0</v>
      </c>
      <c r="H283" s="29">
        <f>22285.7</f>
        <v>22285.7</v>
      </c>
      <c r="I283" s="29">
        <f>22285.7</f>
        <v>22285.7</v>
      </c>
      <c r="J283" s="29">
        <f>22285.7</f>
        <v>22285.7</v>
      </c>
      <c r="K283" s="29">
        <v>0</v>
      </c>
      <c r="L283" s="29">
        <v>0</v>
      </c>
      <c r="M283" s="29">
        <v>0</v>
      </c>
      <c r="N283" s="16" t="s">
        <v>314</v>
      </c>
    </row>
    <row r="284" spans="1:17" ht="45.75" thickBot="1" x14ac:dyDescent="0.3">
      <c r="A284" s="30" t="s">
        <v>250</v>
      </c>
      <c r="B284" s="31" t="s">
        <v>141</v>
      </c>
      <c r="C284" s="31" t="s">
        <v>20</v>
      </c>
      <c r="D284" s="31" t="s">
        <v>20</v>
      </c>
      <c r="E284" s="31" t="s">
        <v>21</v>
      </c>
      <c r="F284" s="29">
        <f t="shared" si="138"/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</row>
    <row r="285" spans="1:17" ht="28.5" customHeight="1" thickBot="1" x14ac:dyDescent="0.3">
      <c r="A285" s="100" t="s">
        <v>252</v>
      </c>
      <c r="B285" s="100" t="s">
        <v>246</v>
      </c>
      <c r="C285" s="100" t="s">
        <v>20</v>
      </c>
      <c r="D285" s="100" t="s">
        <v>20</v>
      </c>
      <c r="E285" s="31" t="s">
        <v>10</v>
      </c>
      <c r="F285" s="29">
        <f t="shared" si="138"/>
        <v>10419881.200000001</v>
      </c>
      <c r="G285" s="29">
        <f t="shared" ref="G285:M285" si="142">G286+G287</f>
        <v>1156054.3</v>
      </c>
      <c r="H285" s="29">
        <f t="shared" si="142"/>
        <v>1250233</v>
      </c>
      <c r="I285" s="29">
        <f t="shared" si="142"/>
        <v>1402556</v>
      </c>
      <c r="J285" s="29">
        <f t="shared" si="142"/>
        <v>1533839</v>
      </c>
      <c r="K285" s="29">
        <f t="shared" si="142"/>
        <v>1610531</v>
      </c>
      <c r="L285" s="29">
        <f t="shared" si="142"/>
        <v>1691057.5</v>
      </c>
      <c r="M285" s="29">
        <f t="shared" si="142"/>
        <v>1775610.4</v>
      </c>
    </row>
    <row r="286" spans="1:17" ht="45.75" thickBot="1" x14ac:dyDescent="0.3">
      <c r="A286" s="101"/>
      <c r="B286" s="101"/>
      <c r="C286" s="101"/>
      <c r="D286" s="101"/>
      <c r="E286" s="31" t="s">
        <v>93</v>
      </c>
      <c r="F286" s="29">
        <f t="shared" si="138"/>
        <v>10408504.200000001</v>
      </c>
      <c r="G286" s="29">
        <f>G288+G289+G290+G291+G292+G293</f>
        <v>1144677.3</v>
      </c>
      <c r="H286" s="29">
        <f t="shared" ref="H286:M286" si="143">H288+H289+H290+H291+H292+H293</f>
        <v>1250233</v>
      </c>
      <c r="I286" s="29">
        <f t="shared" si="143"/>
        <v>1402556</v>
      </c>
      <c r="J286" s="29">
        <f t="shared" si="143"/>
        <v>1533839</v>
      </c>
      <c r="K286" s="29">
        <f t="shared" si="143"/>
        <v>1610531</v>
      </c>
      <c r="L286" s="29">
        <f t="shared" si="143"/>
        <v>1691057.5</v>
      </c>
      <c r="M286" s="29">
        <f t="shared" si="143"/>
        <v>1775610.4</v>
      </c>
    </row>
    <row r="287" spans="1:17" ht="15.75" thickBot="1" x14ac:dyDescent="0.3">
      <c r="A287" s="102"/>
      <c r="B287" s="102"/>
      <c r="C287" s="102"/>
      <c r="D287" s="102"/>
      <c r="E287" s="31" t="s">
        <v>21</v>
      </c>
      <c r="F287" s="29">
        <f t="shared" si="138"/>
        <v>11377</v>
      </c>
      <c r="G287" s="29">
        <f>G294</f>
        <v>11377</v>
      </c>
      <c r="H287" s="29">
        <f t="shared" ref="H287:M287" si="144">H294</f>
        <v>0</v>
      </c>
      <c r="I287" s="29">
        <f t="shared" si="144"/>
        <v>0</v>
      </c>
      <c r="J287" s="29">
        <f t="shared" si="144"/>
        <v>0</v>
      </c>
      <c r="K287" s="29">
        <f t="shared" si="144"/>
        <v>0</v>
      </c>
      <c r="L287" s="29">
        <f t="shared" si="144"/>
        <v>0</v>
      </c>
      <c r="M287" s="29">
        <f t="shared" si="144"/>
        <v>0</v>
      </c>
    </row>
    <row r="288" spans="1:17" ht="45.75" thickBot="1" x14ac:dyDescent="0.3">
      <c r="A288" s="30" t="s">
        <v>253</v>
      </c>
      <c r="B288" s="31" t="s">
        <v>248</v>
      </c>
      <c r="C288" s="31" t="s">
        <v>20</v>
      </c>
      <c r="D288" s="31" t="s">
        <v>20</v>
      </c>
      <c r="E288" s="31" t="s">
        <v>93</v>
      </c>
      <c r="F288" s="29">
        <f t="shared" si="138"/>
        <v>9545688.1999999993</v>
      </c>
      <c r="G288" s="29">
        <v>1035041.3</v>
      </c>
      <c r="H288" s="29">
        <f>1131860</f>
        <v>1131860</v>
      </c>
      <c r="I288" s="29">
        <f>1276576</f>
        <v>1276576</v>
      </c>
      <c r="J288" s="29">
        <f>1402085</f>
        <v>1402085</v>
      </c>
      <c r="K288" s="29">
        <v>1490920.2</v>
      </c>
      <c r="L288" s="29">
        <v>1565466.2</v>
      </c>
      <c r="M288" s="29">
        <v>1643739.5</v>
      </c>
      <c r="N288" s="16" t="s">
        <v>310</v>
      </c>
    </row>
    <row r="289" spans="1:17" ht="45.75" thickBot="1" x14ac:dyDescent="0.3">
      <c r="A289" s="69" t="s">
        <v>293</v>
      </c>
      <c r="B289" s="31" t="s">
        <v>141</v>
      </c>
      <c r="C289" s="31" t="s">
        <v>20</v>
      </c>
      <c r="D289" s="31" t="s">
        <v>20</v>
      </c>
      <c r="E289" s="31" t="s">
        <v>93</v>
      </c>
      <c r="F289" s="29">
        <f t="shared" si="138"/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P289" s="65"/>
      <c r="Q289" s="65"/>
    </row>
    <row r="290" spans="1:17" ht="45.75" thickBot="1" x14ac:dyDescent="0.3">
      <c r="A290" s="30" t="s">
        <v>254</v>
      </c>
      <c r="B290" s="31" t="s">
        <v>283</v>
      </c>
      <c r="C290" s="31" t="s">
        <v>20</v>
      </c>
      <c r="D290" s="31" t="s">
        <v>20</v>
      </c>
      <c r="E290" s="31" t="s">
        <v>93</v>
      </c>
      <c r="F290" s="29">
        <f t="shared" si="138"/>
        <v>65033</v>
      </c>
      <c r="G290" s="29">
        <f>14333</f>
        <v>14333</v>
      </c>
      <c r="H290" s="29">
        <f>15846</f>
        <v>15846</v>
      </c>
      <c r="I290" s="29">
        <f>17015</f>
        <v>17015</v>
      </c>
      <c r="J290" s="29">
        <f>17839</f>
        <v>17839</v>
      </c>
      <c r="K290" s="29">
        <v>0</v>
      </c>
      <c r="L290" s="29">
        <v>0</v>
      </c>
      <c r="M290" s="29">
        <v>0</v>
      </c>
      <c r="N290" s="16" t="s">
        <v>311</v>
      </c>
    </row>
    <row r="291" spans="1:17" ht="45.75" thickBot="1" x14ac:dyDescent="0.3">
      <c r="A291" s="69" t="s">
        <v>294</v>
      </c>
      <c r="B291" s="31" t="s">
        <v>141</v>
      </c>
      <c r="C291" s="31" t="s">
        <v>20</v>
      </c>
      <c r="D291" s="31" t="s">
        <v>20</v>
      </c>
      <c r="E291" s="31" t="s">
        <v>93</v>
      </c>
      <c r="F291" s="29">
        <f t="shared" si="138"/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</row>
    <row r="292" spans="1:17" ht="130.5" customHeight="1" thickBot="1" x14ac:dyDescent="0.3">
      <c r="A292" s="30" t="s">
        <v>256</v>
      </c>
      <c r="B292" s="31" t="s">
        <v>284</v>
      </c>
      <c r="C292" s="31" t="s">
        <v>20</v>
      </c>
      <c r="D292" s="31" t="s">
        <v>20</v>
      </c>
      <c r="E292" s="31" t="s">
        <v>93</v>
      </c>
      <c r="F292" s="29">
        <f t="shared" si="138"/>
        <v>797783.00000000012</v>
      </c>
      <c r="G292" s="29">
        <f>95303</f>
        <v>95303</v>
      </c>
      <c r="H292" s="29">
        <f>102527</f>
        <v>102527</v>
      </c>
      <c r="I292" s="29">
        <f>108965</f>
        <v>108965</v>
      </c>
      <c r="J292" s="29">
        <f>113915</f>
        <v>113915</v>
      </c>
      <c r="K292" s="29">
        <v>119610.8</v>
      </c>
      <c r="L292" s="29">
        <v>125591.3</v>
      </c>
      <c r="M292" s="29">
        <v>131870.9</v>
      </c>
      <c r="N292" s="16" t="s">
        <v>312</v>
      </c>
    </row>
    <row r="293" spans="1:17" ht="45.75" thickBot="1" x14ac:dyDescent="0.3">
      <c r="A293" s="69" t="s">
        <v>295</v>
      </c>
      <c r="B293" s="31" t="s">
        <v>141</v>
      </c>
      <c r="C293" s="31" t="s">
        <v>20</v>
      </c>
      <c r="D293" s="31" t="s">
        <v>20</v>
      </c>
      <c r="E293" s="31" t="s">
        <v>93</v>
      </c>
      <c r="F293" s="29">
        <f t="shared" si="138"/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</row>
    <row r="294" spans="1:17" ht="45.75" thickBot="1" x14ac:dyDescent="0.3">
      <c r="A294" s="30" t="s">
        <v>296</v>
      </c>
      <c r="B294" s="31" t="s">
        <v>251</v>
      </c>
      <c r="C294" s="31" t="s">
        <v>20</v>
      </c>
      <c r="D294" s="31" t="s">
        <v>20</v>
      </c>
      <c r="E294" s="31" t="s">
        <v>21</v>
      </c>
      <c r="F294" s="29">
        <f t="shared" si="138"/>
        <v>11377</v>
      </c>
      <c r="G294" s="29">
        <v>11377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16" t="s">
        <v>336</v>
      </c>
    </row>
    <row r="295" spans="1:17" ht="111" customHeight="1" thickBot="1" x14ac:dyDescent="0.3">
      <c r="A295" s="30" t="s">
        <v>297</v>
      </c>
      <c r="B295" s="31" t="s">
        <v>285</v>
      </c>
      <c r="C295" s="31" t="s">
        <v>20</v>
      </c>
      <c r="D295" s="31" t="s">
        <v>20</v>
      </c>
      <c r="E295" s="31" t="s">
        <v>93</v>
      </c>
      <c r="F295" s="29">
        <f t="shared" si="138"/>
        <v>8368234.2999999998</v>
      </c>
      <c r="G295" s="29">
        <f t="shared" ref="G295:M295" si="145">G296+G297+G298</f>
        <v>487804.4</v>
      </c>
      <c r="H295" s="29">
        <f t="shared" si="145"/>
        <v>1066525</v>
      </c>
      <c r="I295" s="29">
        <f t="shared" si="145"/>
        <v>1135746</v>
      </c>
      <c r="J295" s="29">
        <f t="shared" si="145"/>
        <v>1317400</v>
      </c>
      <c r="K295" s="29">
        <f t="shared" si="145"/>
        <v>1383270.0999999999</v>
      </c>
      <c r="L295" s="29">
        <f t="shared" si="145"/>
        <v>1452433.5999999999</v>
      </c>
      <c r="M295" s="29">
        <f t="shared" si="145"/>
        <v>1525055.2</v>
      </c>
    </row>
    <row r="296" spans="1:17" ht="60.75" thickBot="1" x14ac:dyDescent="0.3">
      <c r="A296" s="30" t="s">
        <v>298</v>
      </c>
      <c r="B296" s="31" t="s">
        <v>286</v>
      </c>
      <c r="C296" s="31" t="s">
        <v>20</v>
      </c>
      <c r="D296" s="31" t="s">
        <v>20</v>
      </c>
      <c r="E296" s="31" t="s">
        <v>93</v>
      </c>
      <c r="F296" s="29">
        <f t="shared" si="138"/>
        <v>7880622.3000000007</v>
      </c>
      <c r="G296" s="29">
        <f>455256</f>
        <v>455256</v>
      </c>
      <c r="H296" s="29">
        <f>1002742</f>
        <v>1002742</v>
      </c>
      <c r="I296" s="29">
        <f>43189.1+791954.908+24365.13+60742.739+9035.6+137674.523</f>
        <v>1066962</v>
      </c>
      <c r="J296" s="29">
        <f>47300.3+925134.319+28462.502+70957.566+9895.7+160826.613</f>
        <v>1242577</v>
      </c>
      <c r="K296" s="29">
        <v>1304705.8999999999</v>
      </c>
      <c r="L296" s="29">
        <v>1369941.2</v>
      </c>
      <c r="M296" s="29">
        <v>1438438.2</v>
      </c>
      <c r="N296" s="16" t="s">
        <v>313</v>
      </c>
    </row>
    <row r="297" spans="1:17" ht="45.75" thickBot="1" x14ac:dyDescent="0.3">
      <c r="A297" s="30" t="s">
        <v>299</v>
      </c>
      <c r="B297" s="31" t="s">
        <v>255</v>
      </c>
      <c r="C297" s="31" t="s">
        <v>20</v>
      </c>
      <c r="D297" s="31" t="s">
        <v>20</v>
      </c>
      <c r="E297" s="31" t="s">
        <v>93</v>
      </c>
      <c r="F297" s="29">
        <f t="shared" si="138"/>
        <v>6382</v>
      </c>
      <c r="G297" s="29">
        <f>6382</f>
        <v>6382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16" t="s">
        <v>333</v>
      </c>
      <c r="P297" s="70"/>
    </row>
    <row r="298" spans="1:17" ht="90.75" thickBot="1" x14ac:dyDescent="0.3">
      <c r="A298" s="30" t="s">
        <v>300</v>
      </c>
      <c r="B298" s="31" t="s">
        <v>287</v>
      </c>
      <c r="C298" s="31" t="s">
        <v>20</v>
      </c>
      <c r="D298" s="31" t="s">
        <v>20</v>
      </c>
      <c r="E298" s="31" t="s">
        <v>93</v>
      </c>
      <c r="F298" s="29">
        <f t="shared" si="138"/>
        <v>481230</v>
      </c>
      <c r="G298" s="29">
        <v>26166.400000000001</v>
      </c>
      <c r="H298" s="29">
        <f>63783</f>
        <v>63783</v>
      </c>
      <c r="I298" s="29">
        <f>4394+64390</f>
        <v>68784</v>
      </c>
      <c r="J298" s="29">
        <f>4764+70059</f>
        <v>74823</v>
      </c>
      <c r="K298" s="29">
        <v>78564.2</v>
      </c>
      <c r="L298" s="29">
        <v>82492.399999999994</v>
      </c>
      <c r="M298" s="29">
        <v>86617</v>
      </c>
      <c r="N298" s="16" t="s">
        <v>315</v>
      </c>
      <c r="P298" s="43"/>
      <c r="Q298" s="43"/>
    </row>
    <row r="299" spans="1:17" ht="15.75" thickBot="1" x14ac:dyDescent="0.3">
      <c r="A299" s="108" t="s">
        <v>257</v>
      </c>
      <c r="B299" s="109"/>
      <c r="C299" s="109"/>
      <c r="D299" s="110"/>
      <c r="E299" s="31" t="s">
        <v>10</v>
      </c>
      <c r="F299" s="29">
        <f>F300+F301</f>
        <v>25538127.758650001</v>
      </c>
      <c r="G299" s="29">
        <f t="shared" ref="G299:M299" si="146">G300+G301</f>
        <v>2686766.74615</v>
      </c>
      <c r="H299" s="29">
        <f t="shared" si="146"/>
        <v>3126621.9000000004</v>
      </c>
      <c r="I299" s="29">
        <f t="shared" si="146"/>
        <v>3426500.7</v>
      </c>
      <c r="J299" s="29">
        <f t="shared" si="146"/>
        <v>3798499.2125000004</v>
      </c>
      <c r="K299" s="29">
        <f t="shared" si="146"/>
        <v>3965024.3999999994</v>
      </c>
      <c r="L299" s="29">
        <f t="shared" si="146"/>
        <v>4163275.5999999996</v>
      </c>
      <c r="M299" s="29">
        <f t="shared" si="146"/>
        <v>4371439.1999999993</v>
      </c>
    </row>
    <row r="300" spans="1:17" ht="45.75" thickBot="1" x14ac:dyDescent="0.3">
      <c r="A300" s="111"/>
      <c r="B300" s="112"/>
      <c r="C300" s="112"/>
      <c r="D300" s="113"/>
      <c r="E300" s="31" t="s">
        <v>93</v>
      </c>
      <c r="F300" s="29">
        <f>SUM(G300:M300)</f>
        <v>18843595.600000001</v>
      </c>
      <c r="G300" s="29">
        <f>G286+G295</f>
        <v>1632481.7000000002</v>
      </c>
      <c r="H300" s="29">
        <f>H286+H295+H283</f>
        <v>2339043.7000000002</v>
      </c>
      <c r="I300" s="29">
        <f t="shared" ref="I300:J300" si="147">I286+I295+I283</f>
        <v>2560587.7000000002</v>
      </c>
      <c r="J300" s="29">
        <f t="shared" si="147"/>
        <v>2873524.7</v>
      </c>
      <c r="K300" s="29">
        <f t="shared" ref="K300:M300" si="148">K286+K295+K283</f>
        <v>2993801.0999999996</v>
      </c>
      <c r="L300" s="29">
        <f t="shared" si="148"/>
        <v>3143491.0999999996</v>
      </c>
      <c r="M300" s="29">
        <f t="shared" si="148"/>
        <v>3300665.5999999996</v>
      </c>
    </row>
    <row r="301" spans="1:17" ht="15.75" thickBot="1" x14ac:dyDescent="0.3">
      <c r="A301" s="114"/>
      <c r="B301" s="115"/>
      <c r="C301" s="115"/>
      <c r="D301" s="116"/>
      <c r="E301" s="31" t="s">
        <v>21</v>
      </c>
      <c r="F301" s="29">
        <f>SUM(G301:M301)</f>
        <v>6694532.1586499996</v>
      </c>
      <c r="G301" s="29">
        <f>G272+G273+G275+G277+G281+G287+G274</f>
        <v>1054285.0461500001</v>
      </c>
      <c r="H301" s="29">
        <f t="shared" ref="H301:M301" si="149">H272+H273+H275+H277+H282+H287+H274</f>
        <v>787578.20000000007</v>
      </c>
      <c r="I301" s="29">
        <f t="shared" si="149"/>
        <v>865913</v>
      </c>
      <c r="J301" s="29">
        <f t="shared" si="149"/>
        <v>924974.51249999995</v>
      </c>
      <c r="K301" s="29">
        <f t="shared" si="149"/>
        <v>971223.29999999993</v>
      </c>
      <c r="L301" s="29">
        <f t="shared" si="149"/>
        <v>1019784.5</v>
      </c>
      <c r="M301" s="29">
        <f t="shared" si="149"/>
        <v>1070773.5999999999</v>
      </c>
    </row>
    <row r="302" spans="1:17" ht="15.75" thickBot="1" x14ac:dyDescent="0.3">
      <c r="A302" s="108" t="s">
        <v>258</v>
      </c>
      <c r="B302" s="109"/>
      <c r="C302" s="109"/>
      <c r="D302" s="110"/>
      <c r="E302" s="31" t="s">
        <v>10</v>
      </c>
      <c r="F302" s="29">
        <f>F303+F304</f>
        <v>25538127.758650001</v>
      </c>
      <c r="G302" s="29">
        <f t="shared" ref="G302:M302" si="150">G303+G304</f>
        <v>2686766.74615</v>
      </c>
      <c r="H302" s="29">
        <f t="shared" si="150"/>
        <v>3126621.9000000004</v>
      </c>
      <c r="I302" s="29">
        <f t="shared" si="150"/>
        <v>3426500.7</v>
      </c>
      <c r="J302" s="29">
        <f t="shared" si="150"/>
        <v>3798499.2125000004</v>
      </c>
      <c r="K302" s="29">
        <f t="shared" si="150"/>
        <v>3965024.3999999994</v>
      </c>
      <c r="L302" s="29">
        <f t="shared" si="150"/>
        <v>4163275.5999999996</v>
      </c>
      <c r="M302" s="29">
        <f t="shared" si="150"/>
        <v>4371439.1999999993</v>
      </c>
      <c r="N302" s="71">
        <v>3126621.91915</v>
      </c>
      <c r="O302" s="71">
        <f>N302-H302</f>
        <v>1.9149999599903822E-2</v>
      </c>
    </row>
    <row r="303" spans="1:17" ht="45.75" thickBot="1" x14ac:dyDescent="0.3">
      <c r="A303" s="111"/>
      <c r="B303" s="112"/>
      <c r="C303" s="112"/>
      <c r="D303" s="113"/>
      <c r="E303" s="31" t="s">
        <v>93</v>
      </c>
      <c r="F303" s="29">
        <f>SUM(G303:M303)</f>
        <v>18843595.600000001</v>
      </c>
      <c r="G303" s="29">
        <f>G300</f>
        <v>1632481.7000000002</v>
      </c>
      <c r="H303" s="29">
        <f>H300</f>
        <v>2339043.7000000002</v>
      </c>
      <c r="I303" s="29">
        <f t="shared" ref="I303:M303" si="151">I300</f>
        <v>2560587.7000000002</v>
      </c>
      <c r="J303" s="29">
        <f t="shared" si="151"/>
        <v>2873524.7</v>
      </c>
      <c r="K303" s="29">
        <f t="shared" si="151"/>
        <v>2993801.0999999996</v>
      </c>
      <c r="L303" s="29">
        <f t="shared" si="151"/>
        <v>3143491.0999999996</v>
      </c>
      <c r="M303" s="29">
        <f t="shared" si="151"/>
        <v>3300665.5999999996</v>
      </c>
      <c r="N303" s="16">
        <v>2368091.7999999998</v>
      </c>
      <c r="O303" s="65">
        <f>H303-N303</f>
        <v>-29048.099999999627</v>
      </c>
    </row>
    <row r="304" spans="1:17" x14ac:dyDescent="0.25">
      <c r="A304" s="111"/>
      <c r="B304" s="112"/>
      <c r="C304" s="112"/>
      <c r="D304" s="113"/>
      <c r="E304" s="151" t="s">
        <v>21</v>
      </c>
      <c r="F304" s="106">
        <f>SUM(G304:M307)</f>
        <v>6694532.1586499996</v>
      </c>
      <c r="G304" s="106">
        <f>G301</f>
        <v>1054285.0461500001</v>
      </c>
      <c r="H304" s="106">
        <f t="shared" ref="H304:M304" si="152">H301</f>
        <v>787578.20000000007</v>
      </c>
      <c r="I304" s="106">
        <f t="shared" si="152"/>
        <v>865913</v>
      </c>
      <c r="J304" s="106">
        <f t="shared" si="152"/>
        <v>924974.51249999995</v>
      </c>
      <c r="K304" s="106">
        <f t="shared" si="152"/>
        <v>971223.29999999993</v>
      </c>
      <c r="L304" s="106">
        <f t="shared" si="152"/>
        <v>1019784.5</v>
      </c>
      <c r="M304" s="106">
        <f t="shared" si="152"/>
        <v>1070773.5999999999</v>
      </c>
    </row>
    <row r="305" spans="1:15" x14ac:dyDescent="0.25">
      <c r="A305" s="111"/>
      <c r="B305" s="112"/>
      <c r="C305" s="112"/>
      <c r="D305" s="113"/>
      <c r="E305" s="152"/>
      <c r="F305" s="150"/>
      <c r="G305" s="150"/>
      <c r="H305" s="150"/>
      <c r="I305" s="150"/>
      <c r="J305" s="150"/>
      <c r="K305" s="150"/>
      <c r="L305" s="150"/>
      <c r="M305" s="150"/>
      <c r="N305" s="16">
        <v>787578.2</v>
      </c>
      <c r="O305" s="65">
        <f>H304-N305</f>
        <v>0</v>
      </c>
    </row>
    <row r="306" spans="1:15" x14ac:dyDescent="0.25">
      <c r="A306" s="111"/>
      <c r="B306" s="112"/>
      <c r="C306" s="112"/>
      <c r="D306" s="113"/>
      <c r="E306" s="152"/>
      <c r="F306" s="150"/>
      <c r="G306" s="150"/>
      <c r="H306" s="150"/>
      <c r="I306" s="150"/>
      <c r="J306" s="150"/>
      <c r="K306" s="150"/>
      <c r="L306" s="150"/>
      <c r="M306" s="150"/>
    </row>
    <row r="307" spans="1:15" ht="15.75" thickBot="1" x14ac:dyDescent="0.3">
      <c r="A307" s="114"/>
      <c r="B307" s="115"/>
      <c r="C307" s="115"/>
      <c r="D307" s="116"/>
      <c r="E307" s="153"/>
      <c r="F307" s="107"/>
      <c r="G307" s="107"/>
      <c r="H307" s="107"/>
      <c r="I307" s="107"/>
      <c r="J307" s="107"/>
      <c r="K307" s="107"/>
      <c r="L307" s="107"/>
      <c r="M307" s="107"/>
    </row>
    <row r="308" spans="1:15" ht="15.75" thickBot="1" x14ac:dyDescent="0.3">
      <c r="A308" s="108" t="s">
        <v>259</v>
      </c>
      <c r="B308" s="109"/>
      <c r="C308" s="109"/>
      <c r="D308" s="110"/>
      <c r="E308" s="31" t="s">
        <v>10</v>
      </c>
      <c r="F308" s="29">
        <f>F309+F310</f>
        <v>26782647.316709999</v>
      </c>
      <c r="G308" s="29">
        <f>G309+G310</f>
        <v>3068125.4552100003</v>
      </c>
      <c r="H308" s="29">
        <f t="shared" ref="H308:M308" si="153">H309+H310</f>
        <v>3311188.9000000004</v>
      </c>
      <c r="I308" s="29">
        <f t="shared" si="153"/>
        <v>3561182.8850000002</v>
      </c>
      <c r="J308" s="29">
        <f t="shared" si="153"/>
        <v>3933864.9765000003</v>
      </c>
      <c r="K308" s="29">
        <f t="shared" si="153"/>
        <v>4097583.8999999994</v>
      </c>
      <c r="L308" s="29">
        <f t="shared" si="153"/>
        <v>4299398.3999999994</v>
      </c>
      <c r="M308" s="29">
        <f t="shared" si="153"/>
        <v>4511302.8</v>
      </c>
    </row>
    <row r="309" spans="1:15" ht="45.75" thickBot="1" x14ac:dyDescent="0.3">
      <c r="A309" s="111"/>
      <c r="B309" s="112"/>
      <c r="C309" s="112"/>
      <c r="D309" s="113"/>
      <c r="E309" s="31" t="s">
        <v>93</v>
      </c>
      <c r="F309" s="29">
        <f>SUM(G309:M309)</f>
        <v>19239108.079599999</v>
      </c>
      <c r="G309" s="29">
        <f t="shared" ref="G309:M309" si="154">G227+G269+G303</f>
        <v>1859634.7796000002</v>
      </c>
      <c r="H309" s="29">
        <f t="shared" si="154"/>
        <v>2365428.2000000002</v>
      </c>
      <c r="I309" s="29">
        <f t="shared" si="154"/>
        <v>2587324.3000000003</v>
      </c>
      <c r="J309" s="29">
        <f t="shared" si="154"/>
        <v>2900261.3000000003</v>
      </c>
      <c r="K309" s="29">
        <f t="shared" si="154"/>
        <v>3021874.5999999996</v>
      </c>
      <c r="L309" s="29">
        <f t="shared" si="154"/>
        <v>3172968.1999999997</v>
      </c>
      <c r="M309" s="29">
        <f t="shared" si="154"/>
        <v>3331616.6999999997</v>
      </c>
    </row>
    <row r="310" spans="1:15" ht="15.75" thickBot="1" x14ac:dyDescent="0.3">
      <c r="A310" s="114"/>
      <c r="B310" s="115"/>
      <c r="C310" s="115"/>
      <c r="D310" s="116"/>
      <c r="E310" s="31" t="s">
        <v>21</v>
      </c>
      <c r="F310" s="29">
        <f>SUM(G310:M310)</f>
        <v>7543539.2371099992</v>
      </c>
      <c r="G310" s="29">
        <f>G228+G268+G304</f>
        <v>1208490.67561</v>
      </c>
      <c r="H310" s="29">
        <f t="shared" ref="H310:M310" si="155">H228+H268+H304</f>
        <v>945760.70000000007</v>
      </c>
      <c r="I310" s="29">
        <f t="shared" si="155"/>
        <v>973858.58499999996</v>
      </c>
      <c r="J310" s="29">
        <f t="shared" si="155"/>
        <v>1033603.6764999999</v>
      </c>
      <c r="K310" s="29">
        <f t="shared" si="155"/>
        <v>1075709.2999999998</v>
      </c>
      <c r="L310" s="29">
        <f t="shared" si="155"/>
        <v>1126430.2</v>
      </c>
      <c r="M310" s="29">
        <f t="shared" si="155"/>
        <v>1179686.0999999999</v>
      </c>
    </row>
    <row r="311" spans="1:15" ht="15.75" thickBot="1" x14ac:dyDescent="0.3">
      <c r="A311" s="103" t="s">
        <v>260</v>
      </c>
      <c r="B311" s="104"/>
      <c r="C311" s="104"/>
      <c r="D311" s="105"/>
      <c r="E311" s="31"/>
      <c r="F311" s="29"/>
      <c r="G311" s="29"/>
      <c r="H311" s="29"/>
      <c r="I311" s="29"/>
      <c r="J311" s="29"/>
      <c r="K311" s="29"/>
      <c r="L311" s="29"/>
      <c r="M311" s="29"/>
    </row>
    <row r="312" spans="1:15" ht="15.75" thickBot="1" x14ac:dyDescent="0.3">
      <c r="A312" s="108" t="s">
        <v>20</v>
      </c>
      <c r="B312" s="109"/>
      <c r="C312" s="109"/>
      <c r="D312" s="149"/>
      <c r="E312" s="31" t="s">
        <v>89</v>
      </c>
      <c r="F312" s="29">
        <f>F313+F314</f>
        <v>26173805.663550001</v>
      </c>
      <c r="G312" s="29">
        <f>G313+G314</f>
        <v>2825299.5510499999</v>
      </c>
      <c r="H312" s="29">
        <f t="shared" ref="H312:M312" si="156">H313+H314</f>
        <v>3217556.3000000003</v>
      </c>
      <c r="I312" s="29">
        <f t="shared" si="156"/>
        <v>3503055.7</v>
      </c>
      <c r="J312" s="29">
        <f t="shared" si="156"/>
        <v>3875652.2125000004</v>
      </c>
      <c r="K312" s="29">
        <f t="shared" si="156"/>
        <v>4045569.4999999995</v>
      </c>
      <c r="L312" s="29">
        <f t="shared" si="156"/>
        <v>4247384</v>
      </c>
      <c r="M312" s="29">
        <f t="shared" si="156"/>
        <v>4459288.3999999994</v>
      </c>
    </row>
    <row r="313" spans="1:15" ht="48.75" customHeight="1" thickBot="1" x14ac:dyDescent="0.3">
      <c r="A313" s="111"/>
      <c r="B313" s="112"/>
      <c r="C313" s="112"/>
      <c r="D313" s="135"/>
      <c r="E313" s="31" t="s">
        <v>93</v>
      </c>
      <c r="F313" s="29">
        <f>SUM(G313:M313)</f>
        <v>19037809.8796</v>
      </c>
      <c r="G313" s="29">
        <f>G309-G319-G317</f>
        <v>1658336.5796000003</v>
      </c>
      <c r="H313" s="29">
        <f t="shared" ref="H313:M313" si="157">H309-H319</f>
        <v>2365428.2000000002</v>
      </c>
      <c r="I313" s="29">
        <f t="shared" si="157"/>
        <v>2587324.3000000003</v>
      </c>
      <c r="J313" s="29">
        <f t="shared" si="157"/>
        <v>2900261.3000000003</v>
      </c>
      <c r="K313" s="29">
        <f t="shared" si="157"/>
        <v>3021874.5999999996</v>
      </c>
      <c r="L313" s="29">
        <f t="shared" si="157"/>
        <v>3172968.1999999997</v>
      </c>
      <c r="M313" s="29">
        <f t="shared" si="157"/>
        <v>3331616.6999999997</v>
      </c>
    </row>
    <row r="314" spans="1:15" ht="33" customHeight="1" thickBot="1" x14ac:dyDescent="0.3">
      <c r="A314" s="114"/>
      <c r="B314" s="115"/>
      <c r="C314" s="115"/>
      <c r="D314" s="136"/>
      <c r="E314" s="31" t="s">
        <v>21</v>
      </c>
      <c r="F314" s="29">
        <f>SUM(G314:M314)</f>
        <v>7135995.7839500001</v>
      </c>
      <c r="G314" s="29">
        <f>G310-G315-G316-G320</f>
        <v>1166962.9714499998</v>
      </c>
      <c r="H314" s="29">
        <f t="shared" ref="H314:M314" si="158">H310-H315-H316-H320</f>
        <v>852128.10000000009</v>
      </c>
      <c r="I314" s="29">
        <f t="shared" si="158"/>
        <v>915731.39999999991</v>
      </c>
      <c r="J314" s="29">
        <f t="shared" si="158"/>
        <v>975390.91249999998</v>
      </c>
      <c r="K314" s="29">
        <f t="shared" si="158"/>
        <v>1023694.8999999998</v>
      </c>
      <c r="L314" s="29">
        <f t="shared" si="158"/>
        <v>1074415.8</v>
      </c>
      <c r="M314" s="29">
        <f t="shared" si="158"/>
        <v>1127671.7</v>
      </c>
    </row>
    <row r="315" spans="1:15" ht="45" customHeight="1" thickBot="1" x14ac:dyDescent="0.3">
      <c r="A315" s="103" t="s">
        <v>174</v>
      </c>
      <c r="B315" s="104"/>
      <c r="C315" s="104"/>
      <c r="D315" s="166"/>
      <c r="E315" s="31" t="s">
        <v>21</v>
      </c>
      <c r="F315" s="29">
        <f>SUM(G315:M315)</f>
        <v>18873.465</v>
      </c>
      <c r="G315" s="29">
        <f t="shared" ref="G315:M315" si="159">G159+G175+G184</f>
        <v>7919.9650000000001</v>
      </c>
      <c r="H315" s="29">
        <f t="shared" si="159"/>
        <v>10953.5</v>
      </c>
      <c r="I315" s="29">
        <f t="shared" si="159"/>
        <v>0</v>
      </c>
      <c r="J315" s="29">
        <f t="shared" si="159"/>
        <v>0</v>
      </c>
      <c r="K315" s="29">
        <f t="shared" si="159"/>
        <v>0</v>
      </c>
      <c r="L315" s="29">
        <f t="shared" si="159"/>
        <v>0</v>
      </c>
      <c r="M315" s="29">
        <f t="shared" si="159"/>
        <v>0</v>
      </c>
    </row>
    <row r="316" spans="1:15" ht="45" customHeight="1" thickBot="1" x14ac:dyDescent="0.3">
      <c r="A316" s="108" t="s">
        <v>171</v>
      </c>
      <c r="B316" s="109"/>
      <c r="C316" s="109"/>
      <c r="D316" s="149"/>
      <c r="E316" s="31" t="s">
        <v>21</v>
      </c>
      <c r="F316" s="29">
        <f>SUM(G316:M316)</f>
        <v>386636.68816000008</v>
      </c>
      <c r="G316" s="29">
        <f t="shared" ref="G316:M316" si="160">G156</f>
        <v>31574.439160000002</v>
      </c>
      <c r="H316" s="29">
        <f t="shared" si="160"/>
        <v>82679.100000000006</v>
      </c>
      <c r="I316" s="29">
        <f t="shared" si="160"/>
        <v>58127.185000000005</v>
      </c>
      <c r="J316" s="29">
        <f t="shared" si="160"/>
        <v>58212.764000000003</v>
      </c>
      <c r="K316" s="29">
        <f t="shared" si="160"/>
        <v>52014.400000000001</v>
      </c>
      <c r="L316" s="29">
        <f t="shared" si="160"/>
        <v>52014.400000000001</v>
      </c>
      <c r="M316" s="29">
        <f t="shared" si="160"/>
        <v>52014.400000000001</v>
      </c>
    </row>
    <row r="317" spans="1:15" ht="45" hidden="1" customHeight="1" thickBot="1" x14ac:dyDescent="0.3">
      <c r="A317" s="114"/>
      <c r="B317" s="115"/>
      <c r="C317" s="115"/>
      <c r="D317" s="136"/>
      <c r="E317" s="31" t="s">
        <v>93</v>
      </c>
      <c r="F317" s="29">
        <f>SUM(G317:M317)</f>
        <v>0</v>
      </c>
      <c r="G317" s="29"/>
      <c r="H317" s="29">
        <f t="shared" ref="H317:M317" si="161">H157</f>
        <v>0</v>
      </c>
      <c r="I317" s="29">
        <f t="shared" si="161"/>
        <v>0</v>
      </c>
      <c r="J317" s="29">
        <f t="shared" si="161"/>
        <v>0</v>
      </c>
      <c r="K317" s="29">
        <f t="shared" si="161"/>
        <v>0</v>
      </c>
      <c r="L317" s="29">
        <f t="shared" si="161"/>
        <v>0</v>
      </c>
      <c r="M317" s="29">
        <f t="shared" si="161"/>
        <v>0</v>
      </c>
    </row>
    <row r="318" spans="1:15" ht="45" customHeight="1" thickBot="1" x14ac:dyDescent="0.3">
      <c r="A318" s="170" t="s">
        <v>196</v>
      </c>
      <c r="B318" s="171"/>
      <c r="C318" s="171"/>
      <c r="D318" s="172"/>
      <c r="E318" s="31" t="s">
        <v>89</v>
      </c>
      <c r="F318" s="29">
        <f>F319+F320</f>
        <v>203331.5</v>
      </c>
      <c r="G318" s="29">
        <f t="shared" ref="G318:M318" si="162">G319+G320</f>
        <v>203331.5</v>
      </c>
      <c r="H318" s="29">
        <f t="shared" si="162"/>
        <v>0</v>
      </c>
      <c r="I318" s="29">
        <f t="shared" si="162"/>
        <v>0</v>
      </c>
      <c r="J318" s="29">
        <f t="shared" si="162"/>
        <v>0</v>
      </c>
      <c r="K318" s="29">
        <f t="shared" si="162"/>
        <v>0</v>
      </c>
      <c r="L318" s="29">
        <f t="shared" si="162"/>
        <v>0</v>
      </c>
      <c r="M318" s="29">
        <f t="shared" si="162"/>
        <v>0</v>
      </c>
    </row>
    <row r="319" spans="1:15" ht="45" customHeight="1" thickBot="1" x14ac:dyDescent="0.3">
      <c r="A319" s="173"/>
      <c r="B319" s="174"/>
      <c r="C319" s="174"/>
      <c r="D319" s="175"/>
      <c r="E319" s="61" t="s">
        <v>63</v>
      </c>
      <c r="F319" s="29">
        <f>SUM(G319:M319)</f>
        <v>201298.2</v>
      </c>
      <c r="G319" s="67">
        <f t="shared" ref="G319:M320" si="163">G197</f>
        <v>201298.2</v>
      </c>
      <c r="H319" s="67">
        <f t="shared" si="163"/>
        <v>0</v>
      </c>
      <c r="I319" s="67">
        <f t="shared" si="163"/>
        <v>0</v>
      </c>
      <c r="J319" s="67">
        <f t="shared" si="163"/>
        <v>0</v>
      </c>
      <c r="K319" s="67">
        <f t="shared" si="163"/>
        <v>0</v>
      </c>
      <c r="L319" s="67">
        <f t="shared" si="163"/>
        <v>0</v>
      </c>
      <c r="M319" s="67">
        <f t="shared" si="163"/>
        <v>0</v>
      </c>
    </row>
    <row r="320" spans="1:15" x14ac:dyDescent="0.25">
      <c r="A320" s="173"/>
      <c r="B320" s="174"/>
      <c r="C320" s="174"/>
      <c r="D320" s="175"/>
      <c r="E320" s="167" t="s">
        <v>21</v>
      </c>
      <c r="F320" s="163">
        <f>SUM(G320:M322)</f>
        <v>2033.3</v>
      </c>
      <c r="G320" s="163">
        <f t="shared" si="163"/>
        <v>2033.3</v>
      </c>
      <c r="H320" s="163">
        <f t="shared" si="163"/>
        <v>0</v>
      </c>
      <c r="I320" s="163">
        <f t="shared" si="163"/>
        <v>0</v>
      </c>
      <c r="J320" s="163">
        <f t="shared" si="163"/>
        <v>0</v>
      </c>
      <c r="K320" s="163">
        <f t="shared" si="163"/>
        <v>0</v>
      </c>
      <c r="L320" s="163">
        <f t="shared" si="163"/>
        <v>0</v>
      </c>
      <c r="M320" s="163">
        <f t="shared" si="163"/>
        <v>0</v>
      </c>
    </row>
    <row r="321" spans="1:13" x14ac:dyDescent="0.25">
      <c r="A321" s="173"/>
      <c r="B321" s="174"/>
      <c r="C321" s="174"/>
      <c r="D321" s="175"/>
      <c r="E321" s="168"/>
      <c r="F321" s="164"/>
      <c r="G321" s="164"/>
      <c r="H321" s="164"/>
      <c r="I321" s="164"/>
      <c r="J321" s="164"/>
      <c r="K321" s="164"/>
      <c r="L321" s="164"/>
      <c r="M321" s="164"/>
    </row>
    <row r="322" spans="1:13" ht="15.75" thickBot="1" x14ac:dyDescent="0.3">
      <c r="A322" s="176"/>
      <c r="B322" s="120"/>
      <c r="C322" s="120"/>
      <c r="D322" s="177"/>
      <c r="E322" s="169"/>
      <c r="F322" s="165"/>
      <c r="G322" s="165"/>
      <c r="H322" s="165"/>
      <c r="I322" s="165"/>
      <c r="J322" s="165"/>
      <c r="K322" s="165"/>
      <c r="L322" s="165"/>
      <c r="M322" s="165"/>
    </row>
    <row r="323" spans="1:13" x14ac:dyDescent="0.25">
      <c r="B323" s="72"/>
      <c r="C323" s="72"/>
      <c r="D323" s="72"/>
      <c r="E323" s="72"/>
      <c r="F323" s="73"/>
      <c r="G323" s="73"/>
      <c r="H323" s="73"/>
      <c r="I323" s="73"/>
      <c r="J323" s="73"/>
      <c r="K323" s="73"/>
      <c r="L323" s="73"/>
      <c r="M323" s="74" t="s">
        <v>306</v>
      </c>
    </row>
    <row r="324" spans="1:13" x14ac:dyDescent="0.25">
      <c r="A324" s="72"/>
      <c r="B324" s="72"/>
      <c r="C324" s="72"/>
      <c r="D324" s="72"/>
      <c r="E324" s="72"/>
      <c r="F324" s="73"/>
      <c r="G324" s="73"/>
      <c r="H324" s="73"/>
      <c r="I324" s="73"/>
      <c r="J324" s="73"/>
      <c r="K324" s="73"/>
      <c r="L324" s="73"/>
      <c r="M324" s="73"/>
    </row>
    <row r="325" spans="1:13" x14ac:dyDescent="0.25">
      <c r="A325" s="72"/>
      <c r="B325" s="72"/>
      <c r="C325" s="72"/>
      <c r="D325" s="72"/>
      <c r="E325" s="72"/>
      <c r="F325" s="73"/>
      <c r="G325" s="73"/>
      <c r="H325" s="73"/>
      <c r="I325" s="73"/>
      <c r="J325" s="73"/>
      <c r="K325" s="75"/>
      <c r="L325" s="75"/>
      <c r="M325" s="75"/>
    </row>
    <row r="326" spans="1:13" x14ac:dyDescent="0.25">
      <c r="A326" s="72"/>
      <c r="B326" s="72"/>
      <c r="C326" s="72"/>
      <c r="D326" s="72"/>
      <c r="E326" s="72"/>
      <c r="F326" s="73">
        <v>26723396.700000003</v>
      </c>
      <c r="G326" s="73">
        <v>3024745.2</v>
      </c>
      <c r="H326" s="73">
        <v>3307629.6000000006</v>
      </c>
      <c r="I326" s="73">
        <v>3555070.2</v>
      </c>
      <c r="J326" s="73">
        <v>3927666.6000000006</v>
      </c>
      <c r="K326" s="75">
        <v>4097583.8999999994</v>
      </c>
      <c r="L326" s="75">
        <v>4299398.3999999994</v>
      </c>
      <c r="M326" s="75">
        <v>4511302.8</v>
      </c>
    </row>
    <row r="327" spans="1:13" x14ac:dyDescent="0.25">
      <c r="A327" s="72"/>
      <c r="B327" s="72"/>
      <c r="C327" s="72"/>
      <c r="D327" s="72"/>
      <c r="E327" s="72"/>
      <c r="F327" s="73">
        <v>19123414.300000001</v>
      </c>
      <c r="G327" s="73">
        <v>1743588.9000000001</v>
      </c>
      <c r="H327" s="73">
        <v>2365780.3000000003</v>
      </c>
      <c r="I327" s="73">
        <v>2587324.3000000003</v>
      </c>
      <c r="J327" s="73">
        <v>2900261.3000000003</v>
      </c>
      <c r="K327" s="73">
        <v>3021874.5999999996</v>
      </c>
      <c r="L327" s="73">
        <v>3172968.1999999997</v>
      </c>
      <c r="M327" s="73">
        <v>3331616.6999999997</v>
      </c>
    </row>
    <row r="328" spans="1:13" x14ac:dyDescent="0.25">
      <c r="A328" s="72"/>
      <c r="B328" s="72"/>
      <c r="C328" s="72"/>
      <c r="D328" s="72"/>
      <c r="E328" s="72"/>
      <c r="F328" s="73">
        <v>7599982.4000000004</v>
      </c>
      <c r="G328" s="73">
        <v>1281156.3000000003</v>
      </c>
      <c r="H328" s="73">
        <v>941849.3</v>
      </c>
      <c r="I328" s="73">
        <v>967745.9</v>
      </c>
      <c r="J328" s="73">
        <v>1027405.3</v>
      </c>
      <c r="K328" s="73">
        <v>1075709.2999999998</v>
      </c>
      <c r="L328" s="73">
        <v>1126430.2</v>
      </c>
      <c r="M328" s="73">
        <v>1179686.0999999999</v>
      </c>
    </row>
    <row r="329" spans="1:13" x14ac:dyDescent="0.25">
      <c r="A329" s="72"/>
      <c r="B329" s="72"/>
      <c r="C329" s="72"/>
      <c r="D329" s="72"/>
      <c r="E329" s="72"/>
      <c r="F329" s="73"/>
      <c r="G329" s="73"/>
      <c r="H329" s="73"/>
      <c r="I329" s="73"/>
      <c r="J329" s="73"/>
      <c r="K329" s="73"/>
      <c r="L329" s="73"/>
      <c r="M329" s="73"/>
    </row>
    <row r="330" spans="1:13" x14ac:dyDescent="0.25">
      <c r="A330" s="72"/>
      <c r="B330" s="72"/>
      <c r="C330" s="72"/>
      <c r="D330" s="72"/>
      <c r="E330" s="72"/>
      <c r="F330" s="73"/>
      <c r="G330" s="73"/>
      <c r="H330" s="73"/>
      <c r="I330" s="73"/>
      <c r="J330" s="73"/>
      <c r="K330" s="73"/>
      <c r="L330" s="73"/>
      <c r="M330" s="73"/>
    </row>
    <row r="331" spans="1:13" x14ac:dyDescent="0.25">
      <c r="A331" s="72"/>
      <c r="B331" s="72"/>
      <c r="C331" s="72"/>
      <c r="D331" s="72"/>
      <c r="E331" s="72"/>
      <c r="F331" s="73">
        <f>F308-F326</f>
        <v>59250.616709996015</v>
      </c>
      <c r="G331" s="73">
        <f t="shared" ref="G331:M331" si="164">G308-G326</f>
        <v>43380.25521000009</v>
      </c>
      <c r="H331" s="73">
        <f t="shared" si="164"/>
        <v>3559.2999999998137</v>
      </c>
      <c r="I331" s="73">
        <f t="shared" si="164"/>
        <v>6112.6850000000559</v>
      </c>
      <c r="J331" s="73">
        <f t="shared" si="164"/>
        <v>6198.3764999997802</v>
      </c>
      <c r="K331" s="73">
        <f t="shared" si="164"/>
        <v>0</v>
      </c>
      <c r="L331" s="73">
        <f t="shared" si="164"/>
        <v>0</v>
      </c>
      <c r="M331" s="73">
        <f t="shared" si="164"/>
        <v>0</v>
      </c>
    </row>
    <row r="332" spans="1:13" x14ac:dyDescent="0.25">
      <c r="A332" s="72"/>
      <c r="B332" s="72"/>
      <c r="C332" s="72"/>
      <c r="D332" s="72"/>
      <c r="E332" s="72"/>
      <c r="F332" s="73">
        <f t="shared" ref="F332:M332" si="165">F309-F327</f>
        <v>115693.77959999815</v>
      </c>
      <c r="G332" s="73">
        <f t="shared" si="165"/>
        <v>116045.8796000001</v>
      </c>
      <c r="H332" s="73">
        <f t="shared" si="165"/>
        <v>-352.10000000009313</v>
      </c>
      <c r="I332" s="73">
        <f t="shared" si="165"/>
        <v>0</v>
      </c>
      <c r="J332" s="73">
        <f t="shared" si="165"/>
        <v>0</v>
      </c>
      <c r="K332" s="73">
        <f t="shared" si="165"/>
        <v>0</v>
      </c>
      <c r="L332" s="73">
        <f t="shared" si="165"/>
        <v>0</v>
      </c>
      <c r="M332" s="73">
        <f t="shared" si="165"/>
        <v>0</v>
      </c>
    </row>
    <row r="333" spans="1:13" x14ac:dyDescent="0.25">
      <c r="A333" s="72"/>
      <c r="B333" s="72"/>
      <c r="C333" s="72"/>
      <c r="D333" s="72"/>
      <c r="E333" s="72"/>
      <c r="F333" s="73">
        <f t="shared" ref="F333:M333" si="166">F310-F328</f>
        <v>-56443.1628900012</v>
      </c>
      <c r="G333" s="73">
        <f t="shared" si="166"/>
        <v>-72665.624390000245</v>
      </c>
      <c r="H333" s="73">
        <f t="shared" si="166"/>
        <v>3911.4000000000233</v>
      </c>
      <c r="I333" s="73">
        <f t="shared" si="166"/>
        <v>6112.6849999999395</v>
      </c>
      <c r="J333" s="73">
        <f t="shared" si="166"/>
        <v>6198.3764999998966</v>
      </c>
      <c r="K333" s="73">
        <f t="shared" si="166"/>
        <v>0</v>
      </c>
      <c r="L333" s="73">
        <f t="shared" si="166"/>
        <v>0</v>
      </c>
      <c r="M333" s="73">
        <f t="shared" si="166"/>
        <v>0</v>
      </c>
    </row>
    <row r="334" spans="1:13" x14ac:dyDescent="0.25">
      <c r="A334" s="72"/>
      <c r="B334" s="72"/>
      <c r="C334" s="72"/>
      <c r="D334" s="72"/>
      <c r="E334" s="72"/>
      <c r="F334" s="73"/>
      <c r="G334" s="73"/>
      <c r="H334" s="73"/>
      <c r="I334" s="73"/>
      <c r="J334" s="73"/>
      <c r="K334" s="73"/>
      <c r="L334" s="73"/>
      <c r="M334" s="73"/>
    </row>
    <row r="335" spans="1:13" x14ac:dyDescent="0.25">
      <c r="A335" s="72"/>
      <c r="B335" s="72"/>
      <c r="C335" s="72"/>
      <c r="D335" s="72"/>
      <c r="E335" s="72"/>
      <c r="F335" s="73"/>
      <c r="G335" s="73"/>
      <c r="H335" s="73"/>
      <c r="I335" s="73"/>
      <c r="J335" s="73"/>
      <c r="K335" s="73"/>
      <c r="L335" s="73"/>
      <c r="M335" s="73"/>
    </row>
    <row r="336" spans="1:13" x14ac:dyDescent="0.25">
      <c r="A336" s="72"/>
      <c r="B336" s="72"/>
      <c r="C336" s="72"/>
      <c r="D336" s="72"/>
      <c r="E336" s="72"/>
      <c r="F336" s="73"/>
      <c r="G336" s="73"/>
      <c r="H336" s="73"/>
      <c r="I336" s="73"/>
      <c r="J336" s="73"/>
      <c r="K336" s="73"/>
      <c r="L336" s="73"/>
      <c r="M336" s="73"/>
    </row>
    <row r="337" spans="1:13" x14ac:dyDescent="0.25">
      <c r="A337" s="72"/>
      <c r="B337" s="72"/>
      <c r="C337" s="72"/>
      <c r="D337" s="72"/>
      <c r="E337" s="72"/>
      <c r="F337" s="73"/>
      <c r="G337" s="73"/>
      <c r="H337" s="73"/>
      <c r="I337" s="73"/>
      <c r="J337" s="73"/>
      <c r="K337" s="73"/>
      <c r="L337" s="73"/>
      <c r="M337" s="73"/>
    </row>
    <row r="338" spans="1:13" x14ac:dyDescent="0.25">
      <c r="A338" s="72"/>
      <c r="B338" s="72"/>
      <c r="C338" s="72"/>
      <c r="D338" s="72"/>
      <c r="E338" s="72"/>
      <c r="F338" s="73"/>
      <c r="G338" s="73"/>
      <c r="H338" s="73"/>
      <c r="I338" s="73"/>
      <c r="J338" s="73"/>
      <c r="K338" s="73"/>
      <c r="L338" s="73"/>
      <c r="M338" s="73"/>
    </row>
    <row r="339" spans="1:13" x14ac:dyDescent="0.25">
      <c r="A339" s="72"/>
      <c r="B339" s="72"/>
      <c r="C339" s="72"/>
      <c r="D339" s="72"/>
      <c r="E339" s="72"/>
      <c r="F339" s="73"/>
      <c r="G339" s="73"/>
      <c r="H339" s="73"/>
      <c r="I339" s="73"/>
      <c r="J339" s="73"/>
      <c r="K339" s="73"/>
      <c r="L339" s="73"/>
      <c r="M339" s="73"/>
    </row>
    <row r="340" spans="1:13" x14ac:dyDescent="0.25">
      <c r="A340" s="72"/>
      <c r="B340" s="72"/>
      <c r="C340" s="72"/>
      <c r="D340" s="72"/>
      <c r="E340" s="72"/>
      <c r="F340" s="73"/>
      <c r="G340" s="73"/>
      <c r="H340" s="73"/>
      <c r="I340" s="73"/>
      <c r="J340" s="73"/>
      <c r="K340" s="73"/>
      <c r="L340" s="73"/>
      <c r="M340" s="73"/>
    </row>
    <row r="341" spans="1:13" x14ac:dyDescent="0.25">
      <c r="A341" s="72"/>
      <c r="B341" s="72"/>
      <c r="C341" s="72"/>
      <c r="D341" s="72"/>
      <c r="E341" s="72"/>
      <c r="F341" s="73"/>
      <c r="G341" s="73"/>
      <c r="H341" s="73"/>
      <c r="I341" s="73"/>
      <c r="J341" s="73"/>
      <c r="K341" s="73"/>
      <c r="L341" s="73"/>
      <c r="M341" s="73"/>
    </row>
    <row r="342" spans="1:13" x14ac:dyDescent="0.25">
      <c r="A342" s="72"/>
      <c r="B342" s="72"/>
      <c r="C342" s="72"/>
      <c r="D342" s="72"/>
      <c r="E342" s="72"/>
      <c r="F342" s="73"/>
      <c r="G342" s="73"/>
      <c r="H342" s="73"/>
      <c r="I342" s="73"/>
      <c r="J342" s="73"/>
      <c r="K342" s="73"/>
      <c r="L342" s="73"/>
      <c r="M342" s="73"/>
    </row>
    <row r="343" spans="1:13" x14ac:dyDescent="0.25">
      <c r="A343" s="72"/>
      <c r="B343" s="72"/>
      <c r="C343" s="72"/>
      <c r="D343" s="72"/>
      <c r="E343" s="72"/>
      <c r="F343" s="73"/>
      <c r="G343" s="73"/>
      <c r="H343" s="73"/>
      <c r="I343" s="73"/>
      <c r="J343" s="73"/>
      <c r="K343" s="73"/>
      <c r="L343" s="73"/>
      <c r="M343" s="73"/>
    </row>
    <row r="344" spans="1:13" x14ac:dyDescent="0.25">
      <c r="A344" s="72"/>
      <c r="B344" s="72"/>
      <c r="C344" s="72"/>
      <c r="D344" s="72"/>
      <c r="E344" s="72"/>
      <c r="F344" s="73"/>
      <c r="G344" s="73"/>
      <c r="H344" s="73"/>
      <c r="I344" s="73"/>
      <c r="J344" s="73"/>
      <c r="K344" s="73"/>
      <c r="L344" s="73"/>
      <c r="M344" s="73"/>
    </row>
    <row r="345" spans="1:13" x14ac:dyDescent="0.25">
      <c r="A345" s="72"/>
      <c r="B345" s="75"/>
      <c r="C345" s="72"/>
      <c r="D345" s="75"/>
      <c r="E345" s="72"/>
      <c r="F345" s="73"/>
      <c r="G345" s="73"/>
      <c r="H345" s="73"/>
      <c r="I345" s="73"/>
      <c r="J345" s="73"/>
      <c r="K345" s="73"/>
      <c r="L345" s="73"/>
      <c r="M345" s="73"/>
    </row>
    <row r="346" spans="1:13" x14ac:dyDescent="0.25">
      <c r="A346" s="72"/>
      <c r="B346" s="72"/>
      <c r="C346" s="72"/>
      <c r="D346" s="72"/>
      <c r="E346" s="72"/>
      <c r="F346" s="73"/>
      <c r="G346" s="73"/>
      <c r="H346" s="73"/>
      <c r="I346" s="73"/>
      <c r="J346" s="73"/>
      <c r="K346" s="73"/>
      <c r="L346" s="73"/>
      <c r="M346" s="73"/>
    </row>
    <row r="347" spans="1:13" x14ac:dyDescent="0.25">
      <c r="A347" s="72"/>
      <c r="B347" s="75"/>
      <c r="C347" s="72"/>
      <c r="D347" s="75"/>
      <c r="E347" s="72"/>
      <c r="F347" s="73"/>
      <c r="G347" s="73"/>
      <c r="H347" s="73"/>
      <c r="I347" s="73"/>
      <c r="J347" s="73"/>
      <c r="K347" s="73"/>
      <c r="L347" s="73"/>
      <c r="M347" s="73"/>
    </row>
    <row r="348" spans="1:13" x14ac:dyDescent="0.25">
      <c r="A348" s="72"/>
      <c r="B348" s="72"/>
      <c r="C348" s="72"/>
      <c r="D348" s="72"/>
      <c r="E348" s="72"/>
      <c r="F348" s="73"/>
      <c r="G348" s="73"/>
      <c r="H348" s="73"/>
      <c r="I348" s="73"/>
      <c r="J348" s="73"/>
      <c r="K348" s="73"/>
      <c r="L348" s="73"/>
      <c r="M348" s="73"/>
    </row>
    <row r="349" spans="1:13" x14ac:dyDescent="0.25">
      <c r="A349" s="72"/>
      <c r="B349" s="72"/>
      <c r="C349" s="72"/>
      <c r="D349" s="72"/>
      <c r="E349" s="72"/>
      <c r="F349" s="73"/>
      <c r="G349" s="73"/>
      <c r="H349" s="73"/>
      <c r="I349" s="73"/>
      <c r="J349" s="73"/>
      <c r="K349" s="73"/>
      <c r="L349" s="73"/>
      <c r="M349" s="73"/>
    </row>
    <row r="350" spans="1:13" x14ac:dyDescent="0.25">
      <c r="A350" s="72"/>
      <c r="B350" s="72"/>
      <c r="C350" s="72"/>
      <c r="D350" s="72"/>
      <c r="E350" s="72"/>
      <c r="F350" s="73"/>
      <c r="G350" s="73"/>
      <c r="H350" s="73"/>
      <c r="I350" s="73"/>
      <c r="J350" s="73"/>
      <c r="K350" s="73"/>
      <c r="L350" s="73"/>
      <c r="M350" s="73"/>
    </row>
    <row r="351" spans="1:13" x14ac:dyDescent="0.25">
      <c r="A351" s="72"/>
      <c r="B351" s="72"/>
      <c r="C351" s="72"/>
      <c r="D351" s="72"/>
      <c r="E351" s="72"/>
      <c r="F351" s="73"/>
      <c r="G351" s="73"/>
      <c r="H351" s="73"/>
      <c r="I351" s="73"/>
      <c r="J351" s="73"/>
      <c r="K351" s="73"/>
      <c r="L351" s="73"/>
      <c r="M351" s="73"/>
    </row>
    <row r="352" spans="1:13" x14ac:dyDescent="0.25">
      <c r="A352" s="72"/>
      <c r="B352" s="72"/>
      <c r="C352" s="72"/>
      <c r="D352" s="72"/>
      <c r="E352" s="72"/>
      <c r="F352" s="73"/>
      <c r="G352" s="73"/>
      <c r="H352" s="73"/>
      <c r="I352" s="73"/>
      <c r="J352" s="73"/>
      <c r="K352" s="73"/>
      <c r="L352" s="73"/>
      <c r="M352" s="73"/>
    </row>
    <row r="353" spans="1:13" x14ac:dyDescent="0.25">
      <c r="A353" s="72"/>
      <c r="B353" s="72"/>
      <c r="C353" s="72"/>
      <c r="D353" s="72"/>
      <c r="E353" s="72"/>
      <c r="F353" s="73"/>
      <c r="G353" s="73"/>
      <c r="H353" s="73"/>
      <c r="I353" s="73"/>
      <c r="J353" s="73"/>
      <c r="K353" s="73"/>
      <c r="L353" s="73"/>
      <c r="M353" s="73"/>
    </row>
    <row r="354" spans="1:13" x14ac:dyDescent="0.25">
      <c r="A354" s="72"/>
      <c r="B354" s="72"/>
      <c r="C354" s="72"/>
      <c r="D354" s="72"/>
      <c r="E354" s="72"/>
      <c r="F354" s="73"/>
      <c r="G354" s="73"/>
      <c r="H354" s="73"/>
      <c r="I354" s="73"/>
      <c r="J354" s="73"/>
      <c r="K354" s="73"/>
      <c r="L354" s="73"/>
      <c r="M354" s="73"/>
    </row>
    <row r="355" spans="1:13" x14ac:dyDescent="0.25">
      <c r="A355" s="72"/>
      <c r="B355" s="72"/>
      <c r="C355" s="72"/>
      <c r="D355" s="72"/>
      <c r="E355" s="72"/>
      <c r="F355" s="73"/>
      <c r="G355" s="73"/>
      <c r="H355" s="73"/>
      <c r="I355" s="73"/>
      <c r="J355" s="73"/>
      <c r="K355" s="73"/>
      <c r="L355" s="73"/>
      <c r="M355" s="73"/>
    </row>
    <row r="356" spans="1:13" x14ac:dyDescent="0.25">
      <c r="A356" s="72"/>
      <c r="B356" s="72"/>
      <c r="C356" s="72"/>
      <c r="D356" s="72"/>
      <c r="E356" s="72"/>
      <c r="F356" s="73"/>
      <c r="G356" s="73"/>
      <c r="H356" s="73"/>
      <c r="I356" s="73"/>
      <c r="J356" s="73"/>
      <c r="K356" s="73"/>
      <c r="L356" s="73"/>
      <c r="M356" s="73"/>
    </row>
    <row r="357" spans="1:13" x14ac:dyDescent="0.25">
      <c r="A357" s="72"/>
      <c r="B357" s="72"/>
      <c r="C357" s="72"/>
      <c r="D357" s="72"/>
      <c r="E357" s="72"/>
      <c r="F357" s="73"/>
      <c r="G357" s="73"/>
      <c r="H357" s="73"/>
      <c r="I357" s="73"/>
      <c r="J357" s="73"/>
      <c r="K357" s="73"/>
      <c r="L357" s="73"/>
      <c r="M357" s="73"/>
    </row>
    <row r="358" spans="1:13" x14ac:dyDescent="0.25">
      <c r="A358" s="72"/>
      <c r="B358" s="72"/>
      <c r="C358" s="72"/>
      <c r="D358" s="72"/>
      <c r="E358" s="72"/>
      <c r="F358" s="73"/>
      <c r="G358" s="73"/>
      <c r="H358" s="73"/>
      <c r="I358" s="73"/>
      <c r="J358" s="73"/>
      <c r="K358" s="73"/>
      <c r="L358" s="73"/>
      <c r="M358" s="73"/>
    </row>
    <row r="359" spans="1:13" x14ac:dyDescent="0.25">
      <c r="A359" s="72"/>
      <c r="B359" s="72"/>
      <c r="C359" s="72"/>
      <c r="D359" s="72"/>
      <c r="E359" s="72"/>
      <c r="F359" s="73"/>
      <c r="G359" s="73"/>
      <c r="H359" s="73"/>
      <c r="I359" s="73"/>
      <c r="J359" s="73"/>
      <c r="K359" s="73"/>
      <c r="L359" s="73"/>
      <c r="M359" s="73"/>
    </row>
    <row r="360" spans="1:13" x14ac:dyDescent="0.25">
      <c r="A360" s="72"/>
      <c r="B360" s="72"/>
      <c r="C360" s="72"/>
      <c r="D360" s="72"/>
      <c r="E360" s="72"/>
      <c r="F360" s="73"/>
      <c r="G360" s="73"/>
      <c r="H360" s="73"/>
      <c r="I360" s="73"/>
      <c r="J360" s="73"/>
      <c r="K360" s="73"/>
      <c r="L360" s="73"/>
      <c r="M360" s="73"/>
    </row>
    <row r="361" spans="1:13" x14ac:dyDescent="0.25">
      <c r="A361" s="72"/>
      <c r="B361" s="72"/>
      <c r="C361" s="72"/>
      <c r="D361" s="72"/>
      <c r="E361" s="72"/>
      <c r="F361" s="73"/>
      <c r="G361" s="73"/>
      <c r="H361" s="73"/>
      <c r="I361" s="73"/>
      <c r="J361" s="73"/>
      <c r="K361" s="73"/>
      <c r="L361" s="73"/>
      <c r="M361" s="73"/>
    </row>
    <row r="362" spans="1:13" x14ac:dyDescent="0.25">
      <c r="A362" s="72"/>
      <c r="B362" s="72"/>
      <c r="C362" s="72"/>
      <c r="D362" s="72"/>
      <c r="E362" s="72"/>
      <c r="F362" s="73"/>
      <c r="G362" s="73"/>
      <c r="H362" s="73"/>
      <c r="I362" s="73"/>
      <c r="J362" s="73"/>
      <c r="K362" s="73"/>
      <c r="L362" s="73"/>
      <c r="M362" s="73"/>
    </row>
    <row r="363" spans="1:13" x14ac:dyDescent="0.25">
      <c r="A363" s="72"/>
      <c r="B363" s="72"/>
      <c r="C363" s="72"/>
      <c r="D363" s="72"/>
      <c r="E363" s="72"/>
      <c r="F363" s="73"/>
      <c r="G363" s="73"/>
      <c r="H363" s="73"/>
      <c r="I363" s="73"/>
      <c r="J363" s="73"/>
      <c r="K363" s="73"/>
      <c r="L363" s="73"/>
      <c r="M363" s="73"/>
    </row>
    <row r="364" spans="1:13" x14ac:dyDescent="0.25">
      <c r="A364" s="72"/>
      <c r="B364" s="72"/>
      <c r="C364" s="72"/>
      <c r="D364" s="72"/>
      <c r="E364" s="72"/>
      <c r="F364" s="73"/>
      <c r="G364" s="73"/>
      <c r="H364" s="73"/>
      <c r="I364" s="73"/>
      <c r="J364" s="73"/>
      <c r="K364" s="73"/>
      <c r="L364" s="73"/>
      <c r="M364" s="73"/>
    </row>
    <row r="365" spans="1:13" x14ac:dyDescent="0.25">
      <c r="A365" s="72"/>
      <c r="B365" s="72"/>
      <c r="C365" s="72"/>
      <c r="D365" s="72"/>
      <c r="E365" s="72"/>
      <c r="F365" s="73"/>
      <c r="G365" s="73"/>
      <c r="H365" s="73"/>
      <c r="I365" s="73"/>
      <c r="J365" s="73"/>
      <c r="K365" s="73"/>
      <c r="L365" s="73"/>
      <c r="M365" s="73"/>
    </row>
    <row r="366" spans="1:13" x14ac:dyDescent="0.25">
      <c r="A366" s="72"/>
      <c r="B366" s="72"/>
      <c r="C366" s="72"/>
      <c r="D366" s="72"/>
      <c r="E366" s="72"/>
      <c r="F366" s="73"/>
      <c r="G366" s="73"/>
      <c r="H366" s="73"/>
      <c r="I366" s="73"/>
      <c r="J366" s="73"/>
      <c r="K366" s="73"/>
      <c r="L366" s="73"/>
      <c r="M366" s="73"/>
    </row>
    <row r="367" spans="1:13" x14ac:dyDescent="0.25">
      <c r="A367" s="72"/>
      <c r="B367" s="72"/>
      <c r="C367" s="72"/>
      <c r="D367" s="72"/>
      <c r="E367" s="72"/>
      <c r="F367" s="73"/>
      <c r="G367" s="73"/>
      <c r="H367" s="73"/>
      <c r="I367" s="73"/>
      <c r="J367" s="73"/>
      <c r="K367" s="73"/>
      <c r="L367" s="73"/>
      <c r="M367" s="73"/>
    </row>
    <row r="368" spans="1:13" x14ac:dyDescent="0.25">
      <c r="A368" s="72"/>
      <c r="B368" s="72"/>
      <c r="C368" s="72"/>
      <c r="D368" s="72"/>
      <c r="E368" s="72"/>
      <c r="F368" s="73"/>
      <c r="G368" s="73"/>
      <c r="H368" s="73"/>
      <c r="I368" s="73"/>
      <c r="J368" s="73"/>
      <c r="K368" s="73"/>
      <c r="L368" s="73"/>
      <c r="M368" s="73"/>
    </row>
    <row r="369" spans="1:13" x14ac:dyDescent="0.25">
      <c r="A369" s="72"/>
      <c r="B369" s="72"/>
      <c r="C369" s="72"/>
      <c r="D369" s="72"/>
      <c r="E369" s="72"/>
      <c r="F369" s="73"/>
      <c r="G369" s="73"/>
      <c r="H369" s="73"/>
      <c r="I369" s="73"/>
      <c r="J369" s="73"/>
      <c r="K369" s="73"/>
      <c r="L369" s="73"/>
      <c r="M369" s="73"/>
    </row>
    <row r="370" spans="1:13" x14ac:dyDescent="0.25">
      <c r="A370" s="72"/>
      <c r="B370" s="72"/>
      <c r="C370" s="72"/>
      <c r="D370" s="72"/>
      <c r="E370" s="72"/>
      <c r="F370" s="73"/>
      <c r="G370" s="73"/>
      <c r="H370" s="73"/>
      <c r="I370" s="73"/>
      <c r="J370" s="73"/>
      <c r="K370" s="73"/>
      <c r="L370" s="73"/>
      <c r="M370" s="73"/>
    </row>
    <row r="371" spans="1:13" x14ac:dyDescent="0.25">
      <c r="A371" s="72"/>
      <c r="B371" s="72"/>
      <c r="C371" s="72"/>
      <c r="D371" s="72"/>
      <c r="E371" s="72"/>
      <c r="F371" s="73"/>
      <c r="G371" s="73"/>
      <c r="H371" s="73"/>
      <c r="I371" s="73"/>
      <c r="J371" s="73"/>
      <c r="K371" s="73"/>
      <c r="L371" s="73"/>
      <c r="M371" s="73"/>
    </row>
    <row r="372" spans="1:13" x14ac:dyDescent="0.25">
      <c r="A372" s="72"/>
      <c r="B372" s="72"/>
      <c r="C372" s="72"/>
      <c r="D372" s="72"/>
      <c r="E372" s="72"/>
      <c r="F372" s="73"/>
      <c r="G372" s="73"/>
      <c r="H372" s="73"/>
      <c r="I372" s="73"/>
      <c r="J372" s="73"/>
      <c r="K372" s="73"/>
      <c r="L372" s="73"/>
      <c r="M372" s="73"/>
    </row>
    <row r="373" spans="1:13" x14ac:dyDescent="0.25">
      <c r="A373" s="72"/>
      <c r="B373" s="72"/>
      <c r="C373" s="72"/>
      <c r="D373" s="72"/>
      <c r="E373" s="72"/>
      <c r="F373" s="73"/>
      <c r="G373" s="73"/>
      <c r="H373" s="73"/>
      <c r="I373" s="73"/>
      <c r="J373" s="73"/>
      <c r="K373" s="73"/>
      <c r="L373" s="73"/>
      <c r="M373" s="73"/>
    </row>
    <row r="374" spans="1:13" x14ac:dyDescent="0.25">
      <c r="A374" s="72"/>
      <c r="B374" s="72"/>
      <c r="C374" s="72"/>
      <c r="D374" s="72"/>
      <c r="E374" s="72"/>
      <c r="F374" s="73"/>
      <c r="G374" s="73"/>
      <c r="H374" s="73"/>
      <c r="I374" s="73"/>
      <c r="J374" s="73"/>
      <c r="K374" s="73"/>
      <c r="L374" s="73"/>
      <c r="M374" s="73"/>
    </row>
    <row r="375" spans="1:13" x14ac:dyDescent="0.25">
      <c r="A375" s="72"/>
      <c r="B375" s="72"/>
      <c r="C375" s="72"/>
      <c r="D375" s="72"/>
      <c r="E375" s="72"/>
      <c r="F375" s="73"/>
      <c r="G375" s="73"/>
      <c r="H375" s="73"/>
      <c r="I375" s="73"/>
      <c r="J375" s="73"/>
      <c r="K375" s="73"/>
      <c r="L375" s="73"/>
      <c r="M375" s="73"/>
    </row>
    <row r="376" spans="1:13" x14ac:dyDescent="0.25">
      <c r="A376" s="72"/>
      <c r="B376" s="72"/>
      <c r="C376" s="72"/>
      <c r="D376" s="72"/>
      <c r="E376" s="72"/>
      <c r="F376" s="73"/>
      <c r="G376" s="73"/>
      <c r="H376" s="73"/>
      <c r="I376" s="73"/>
      <c r="J376" s="73"/>
      <c r="K376" s="73"/>
      <c r="L376" s="73"/>
      <c r="M376" s="73"/>
    </row>
    <row r="377" spans="1:13" x14ac:dyDescent="0.25">
      <c r="A377" s="72"/>
      <c r="B377" s="72"/>
      <c r="C377" s="72"/>
      <c r="D377" s="72"/>
      <c r="E377" s="72"/>
      <c r="F377" s="73"/>
      <c r="G377" s="73"/>
      <c r="H377" s="73"/>
      <c r="I377" s="73"/>
      <c r="J377" s="73"/>
      <c r="K377" s="73"/>
      <c r="L377" s="73"/>
      <c r="M377" s="73"/>
    </row>
    <row r="378" spans="1:13" x14ac:dyDescent="0.25">
      <c r="A378" s="72"/>
      <c r="B378" s="72"/>
      <c r="C378" s="72"/>
      <c r="D378" s="72"/>
      <c r="E378" s="72"/>
      <c r="F378" s="73"/>
      <c r="G378" s="73"/>
      <c r="H378" s="73"/>
      <c r="I378" s="73"/>
      <c r="J378" s="73"/>
      <c r="K378" s="73"/>
      <c r="L378" s="73"/>
      <c r="M378" s="73"/>
    </row>
    <row r="379" spans="1:13" x14ac:dyDescent="0.25">
      <c r="A379" s="72"/>
      <c r="B379" s="72"/>
      <c r="C379" s="72"/>
      <c r="D379" s="72"/>
      <c r="E379" s="72"/>
      <c r="F379" s="73"/>
      <c r="G379" s="73"/>
      <c r="H379" s="73"/>
      <c r="I379" s="73"/>
      <c r="J379" s="73"/>
      <c r="K379" s="73"/>
      <c r="L379" s="73"/>
      <c r="M379" s="73"/>
    </row>
    <row r="380" spans="1:13" x14ac:dyDescent="0.25">
      <c r="A380" s="72"/>
      <c r="B380" s="72"/>
      <c r="C380" s="72"/>
      <c r="D380" s="72"/>
      <c r="E380" s="72"/>
      <c r="F380" s="73"/>
      <c r="G380" s="73"/>
      <c r="H380" s="73"/>
      <c r="I380" s="73"/>
      <c r="J380" s="73"/>
      <c r="K380" s="73"/>
      <c r="L380" s="73"/>
      <c r="M380" s="73"/>
    </row>
    <row r="381" spans="1:13" x14ac:dyDescent="0.25">
      <c r="A381" s="72"/>
      <c r="B381" s="72"/>
      <c r="C381" s="72"/>
      <c r="D381" s="72"/>
      <c r="E381" s="72"/>
      <c r="F381" s="73"/>
      <c r="G381" s="73"/>
      <c r="H381" s="73"/>
      <c r="I381" s="73"/>
      <c r="J381" s="73"/>
      <c r="K381" s="73"/>
      <c r="L381" s="73"/>
      <c r="M381" s="73"/>
    </row>
    <row r="382" spans="1:13" x14ac:dyDescent="0.25">
      <c r="A382" s="72"/>
      <c r="B382" s="72"/>
      <c r="C382" s="72"/>
      <c r="D382" s="72"/>
      <c r="E382" s="72"/>
      <c r="F382" s="73"/>
      <c r="G382" s="73"/>
      <c r="H382" s="73"/>
      <c r="I382" s="73"/>
      <c r="J382" s="73"/>
      <c r="K382" s="73"/>
      <c r="L382" s="73"/>
      <c r="M382" s="73"/>
    </row>
    <row r="383" spans="1:13" x14ac:dyDescent="0.25">
      <c r="A383" s="72"/>
      <c r="B383" s="72"/>
      <c r="C383" s="72"/>
      <c r="D383" s="72"/>
      <c r="E383" s="72"/>
      <c r="F383" s="73"/>
      <c r="G383" s="73"/>
      <c r="H383" s="73"/>
      <c r="I383" s="73"/>
      <c r="J383" s="73"/>
      <c r="K383" s="73"/>
      <c r="L383" s="73"/>
      <c r="M383" s="73"/>
    </row>
    <row r="384" spans="1:13" x14ac:dyDescent="0.25">
      <c r="A384" s="72"/>
      <c r="B384" s="72"/>
      <c r="C384" s="72"/>
      <c r="D384" s="72"/>
      <c r="E384" s="72"/>
      <c r="F384" s="73"/>
      <c r="G384" s="73"/>
      <c r="H384" s="73"/>
      <c r="I384" s="73"/>
      <c r="J384" s="73"/>
      <c r="K384" s="73"/>
      <c r="L384" s="73"/>
      <c r="M384" s="73"/>
    </row>
    <row r="385" spans="1:13" x14ac:dyDescent="0.25">
      <c r="A385" s="72"/>
      <c r="B385" s="72"/>
      <c r="C385" s="72"/>
      <c r="D385" s="72"/>
      <c r="E385" s="72"/>
      <c r="F385" s="73"/>
      <c r="G385" s="73"/>
      <c r="H385" s="73"/>
      <c r="I385" s="73"/>
      <c r="J385" s="73"/>
      <c r="K385" s="73"/>
      <c r="L385" s="73"/>
      <c r="M385" s="73"/>
    </row>
    <row r="386" spans="1:13" x14ac:dyDescent="0.25">
      <c r="A386" s="72"/>
      <c r="B386" s="72"/>
      <c r="C386" s="72"/>
      <c r="D386" s="72"/>
      <c r="E386" s="72"/>
      <c r="F386" s="73"/>
      <c r="G386" s="73"/>
      <c r="H386" s="73"/>
      <c r="I386" s="73"/>
      <c r="J386" s="73"/>
      <c r="K386" s="73"/>
      <c r="L386" s="73"/>
      <c r="M386" s="73"/>
    </row>
    <row r="387" spans="1:13" x14ac:dyDescent="0.25">
      <c r="A387" s="72"/>
      <c r="B387" s="72"/>
      <c r="C387" s="72"/>
      <c r="D387" s="72"/>
      <c r="E387" s="72"/>
      <c r="F387" s="73"/>
      <c r="G387" s="73"/>
      <c r="H387" s="73"/>
      <c r="I387" s="73"/>
      <c r="J387" s="73"/>
      <c r="K387" s="73"/>
      <c r="L387" s="73"/>
      <c r="M387" s="73"/>
    </row>
    <row r="388" spans="1:13" x14ac:dyDescent="0.25">
      <c r="A388" s="72"/>
      <c r="B388" s="72"/>
      <c r="C388" s="72"/>
      <c r="D388" s="72"/>
      <c r="E388" s="72"/>
      <c r="F388" s="73"/>
      <c r="G388" s="73"/>
      <c r="H388" s="73"/>
      <c r="I388" s="73"/>
      <c r="J388" s="73"/>
      <c r="K388" s="73"/>
      <c r="L388" s="73"/>
      <c r="M388" s="73"/>
    </row>
    <row r="389" spans="1:13" x14ac:dyDescent="0.25">
      <c r="A389" s="72"/>
      <c r="B389" s="72"/>
      <c r="C389" s="72"/>
      <c r="D389" s="72"/>
      <c r="E389" s="72"/>
      <c r="F389" s="73"/>
      <c r="G389" s="73"/>
      <c r="H389" s="73"/>
      <c r="I389" s="73"/>
      <c r="J389" s="73"/>
      <c r="K389" s="73"/>
      <c r="L389" s="73"/>
      <c r="M389" s="73"/>
    </row>
    <row r="390" spans="1:13" x14ac:dyDescent="0.25">
      <c r="A390" s="72"/>
      <c r="B390" s="72"/>
      <c r="C390" s="72"/>
      <c r="D390" s="72"/>
      <c r="E390" s="72"/>
      <c r="F390" s="73"/>
      <c r="G390" s="73"/>
      <c r="H390" s="73"/>
      <c r="I390" s="73"/>
      <c r="J390" s="73"/>
      <c r="K390" s="73"/>
      <c r="L390" s="73"/>
      <c r="M390" s="73"/>
    </row>
    <row r="391" spans="1:13" x14ac:dyDescent="0.25">
      <c r="A391" s="72"/>
      <c r="B391" s="72"/>
      <c r="C391" s="72"/>
      <c r="D391" s="72"/>
      <c r="E391" s="72"/>
      <c r="F391" s="73"/>
      <c r="G391" s="73"/>
      <c r="H391" s="73"/>
      <c r="I391" s="73"/>
      <c r="J391" s="73"/>
      <c r="K391" s="73"/>
      <c r="L391" s="73"/>
      <c r="M391" s="73"/>
    </row>
    <row r="392" spans="1:13" x14ac:dyDescent="0.25">
      <c r="A392" s="72"/>
      <c r="B392" s="72"/>
      <c r="C392" s="72"/>
      <c r="D392" s="72"/>
      <c r="E392" s="72"/>
      <c r="F392" s="73"/>
      <c r="G392" s="73"/>
      <c r="H392" s="73"/>
      <c r="I392" s="73"/>
      <c r="J392" s="73"/>
      <c r="K392" s="73"/>
      <c r="L392" s="73"/>
      <c r="M392" s="73"/>
    </row>
    <row r="393" spans="1:13" x14ac:dyDescent="0.25">
      <c r="A393" s="72"/>
      <c r="B393" s="72"/>
      <c r="C393" s="72"/>
      <c r="D393" s="72"/>
      <c r="E393" s="72"/>
      <c r="F393" s="73"/>
      <c r="G393" s="73"/>
      <c r="H393" s="73"/>
      <c r="I393" s="73"/>
      <c r="J393" s="73"/>
      <c r="K393" s="73"/>
      <c r="L393" s="73"/>
      <c r="M393" s="73"/>
    </row>
    <row r="394" spans="1:13" x14ac:dyDescent="0.25">
      <c r="A394" s="72"/>
      <c r="B394" s="72"/>
      <c r="C394" s="72"/>
      <c r="D394" s="72"/>
      <c r="E394" s="72"/>
      <c r="F394" s="73"/>
      <c r="G394" s="73"/>
      <c r="H394" s="73"/>
      <c r="I394" s="73"/>
      <c r="J394" s="73"/>
      <c r="K394" s="73"/>
      <c r="L394" s="73"/>
      <c r="M394" s="73"/>
    </row>
    <row r="395" spans="1:13" x14ac:dyDescent="0.25">
      <c r="A395" s="72"/>
      <c r="B395" s="72"/>
      <c r="C395" s="72"/>
      <c r="D395" s="72"/>
      <c r="E395" s="72"/>
      <c r="F395" s="73"/>
      <c r="G395" s="73"/>
      <c r="H395" s="73"/>
      <c r="I395" s="73"/>
      <c r="J395" s="73"/>
      <c r="K395" s="73"/>
      <c r="L395" s="73"/>
      <c r="M395" s="73"/>
    </row>
    <row r="396" spans="1:13" x14ac:dyDescent="0.25">
      <c r="A396" s="72"/>
      <c r="B396" s="72"/>
      <c r="C396" s="72"/>
      <c r="D396" s="72"/>
      <c r="E396" s="72"/>
      <c r="F396" s="73"/>
      <c r="G396" s="73"/>
      <c r="H396" s="73"/>
      <c r="I396" s="73"/>
      <c r="J396" s="73"/>
      <c r="K396" s="73"/>
      <c r="L396" s="73"/>
      <c r="M396" s="73"/>
    </row>
    <row r="397" spans="1:13" x14ac:dyDescent="0.25">
      <c r="A397" s="72"/>
      <c r="B397" s="72"/>
      <c r="C397" s="72"/>
      <c r="D397" s="72"/>
      <c r="E397" s="72"/>
      <c r="F397" s="73"/>
      <c r="G397" s="73"/>
      <c r="H397" s="73"/>
      <c r="I397" s="73"/>
      <c r="J397" s="73"/>
      <c r="K397" s="73"/>
      <c r="L397" s="73"/>
      <c r="M397" s="73"/>
    </row>
    <row r="398" spans="1:13" x14ac:dyDescent="0.25">
      <c r="A398" s="72"/>
      <c r="B398" s="72"/>
      <c r="C398" s="72"/>
      <c r="D398" s="72"/>
      <c r="E398" s="72"/>
      <c r="F398" s="73"/>
      <c r="G398" s="73"/>
      <c r="H398" s="73"/>
      <c r="I398" s="73"/>
      <c r="J398" s="73"/>
      <c r="K398" s="73"/>
      <c r="L398" s="73"/>
      <c r="M398" s="73"/>
    </row>
    <row r="399" spans="1:13" x14ac:dyDescent="0.25">
      <c r="A399" s="72"/>
      <c r="B399" s="72"/>
      <c r="C399" s="72"/>
      <c r="D399" s="72"/>
      <c r="E399" s="72"/>
      <c r="F399" s="73"/>
      <c r="G399" s="73"/>
      <c r="H399" s="73"/>
      <c r="I399" s="73"/>
      <c r="J399" s="73"/>
      <c r="K399" s="73"/>
      <c r="L399" s="73"/>
      <c r="M399" s="73"/>
    </row>
    <row r="400" spans="1:13" x14ac:dyDescent="0.25">
      <c r="A400" s="72"/>
      <c r="B400" s="72"/>
      <c r="C400" s="72"/>
      <c r="D400" s="72"/>
      <c r="E400" s="72"/>
      <c r="F400" s="73"/>
      <c r="G400" s="73"/>
      <c r="H400" s="73"/>
      <c r="I400" s="73"/>
      <c r="J400" s="73"/>
      <c r="K400" s="73"/>
      <c r="L400" s="73"/>
      <c r="M400" s="73"/>
    </row>
  </sheetData>
  <mergeCells count="407">
    <mergeCell ref="J214:J215"/>
    <mergeCell ref="K214:K215"/>
    <mergeCell ref="L214:L215"/>
    <mergeCell ref="M214:M215"/>
    <mergeCell ref="A1:M1"/>
    <mergeCell ref="A2:M2"/>
    <mergeCell ref="A3:M3"/>
    <mergeCell ref="A4:M4"/>
    <mergeCell ref="A175:A177"/>
    <mergeCell ref="B175:B177"/>
    <mergeCell ref="C175:C177"/>
    <mergeCell ref="D175:D177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54:D154"/>
    <mergeCell ref="A155:M155"/>
    <mergeCell ref="A159:A162"/>
    <mergeCell ref="H163:H164"/>
    <mergeCell ref="I163:I164"/>
    <mergeCell ref="J163:J164"/>
    <mergeCell ref="K163:K164"/>
    <mergeCell ref="A178:A180"/>
    <mergeCell ref="B178:B180"/>
    <mergeCell ref="C178:C180"/>
    <mergeCell ref="D178:D180"/>
    <mergeCell ref="A169:A170"/>
    <mergeCell ref="B169:B170"/>
    <mergeCell ref="C169:C170"/>
    <mergeCell ref="D169:D170"/>
    <mergeCell ref="A174:M174"/>
    <mergeCell ref="A171:D173"/>
    <mergeCell ref="L163:L164"/>
    <mergeCell ref="M163:M164"/>
    <mergeCell ref="A163:A164"/>
    <mergeCell ref="B163:B164"/>
    <mergeCell ref="C163:C164"/>
    <mergeCell ref="D163:D164"/>
    <mergeCell ref="E163:E164"/>
    <mergeCell ref="F163:F164"/>
    <mergeCell ref="G163:G164"/>
    <mergeCell ref="F320:F322"/>
    <mergeCell ref="G320:G322"/>
    <mergeCell ref="H320:H322"/>
    <mergeCell ref="M320:M322"/>
    <mergeCell ref="A311:D311"/>
    <mergeCell ref="A312:D314"/>
    <mergeCell ref="A315:D315"/>
    <mergeCell ref="E320:E322"/>
    <mergeCell ref="I320:I322"/>
    <mergeCell ref="J320:J322"/>
    <mergeCell ref="K320:K322"/>
    <mergeCell ref="L320:L322"/>
    <mergeCell ref="A318:D322"/>
    <mergeCell ref="A316:D317"/>
    <mergeCell ref="M304:M307"/>
    <mergeCell ref="A308:D310"/>
    <mergeCell ref="A221:A222"/>
    <mergeCell ref="L304:L307"/>
    <mergeCell ref="G261:G263"/>
    <mergeCell ref="H261:H263"/>
    <mergeCell ref="A264:D266"/>
    <mergeCell ref="A267:D269"/>
    <mergeCell ref="A270:M270"/>
    <mergeCell ref="A271:M271"/>
    <mergeCell ref="A261:A263"/>
    <mergeCell ref="B261:B263"/>
    <mergeCell ref="C261:C263"/>
    <mergeCell ref="D261:D263"/>
    <mergeCell ref="E261:E263"/>
    <mergeCell ref="F261:F263"/>
    <mergeCell ref="A285:A287"/>
    <mergeCell ref="B285:B287"/>
    <mergeCell ref="C285:C287"/>
    <mergeCell ref="D285:D287"/>
    <mergeCell ref="A299:D301"/>
    <mergeCell ref="A302:D307"/>
    <mergeCell ref="I304:I307"/>
    <mergeCell ref="J304:J307"/>
    <mergeCell ref="K304:K307"/>
    <mergeCell ref="G255:G257"/>
    <mergeCell ref="H255:H257"/>
    <mergeCell ref="A258:A260"/>
    <mergeCell ref="B258:B260"/>
    <mergeCell ref="C258:C260"/>
    <mergeCell ref="D258:D260"/>
    <mergeCell ref="E258:E260"/>
    <mergeCell ref="F258:F260"/>
    <mergeCell ref="G258:G260"/>
    <mergeCell ref="H258:H260"/>
    <mergeCell ref="A255:A257"/>
    <mergeCell ref="B255:B257"/>
    <mergeCell ref="C255:C257"/>
    <mergeCell ref="D255:D257"/>
    <mergeCell ref="E255:E257"/>
    <mergeCell ref="F255:F257"/>
    <mergeCell ref="E304:E307"/>
    <mergeCell ref="F304:F307"/>
    <mergeCell ref="G304:G307"/>
    <mergeCell ref="H304:H307"/>
    <mergeCell ref="D279:D281"/>
    <mergeCell ref="C279:C281"/>
    <mergeCell ref="B279:B281"/>
    <mergeCell ref="A249:A251"/>
    <mergeCell ref="B249:B251"/>
    <mergeCell ref="C249:C251"/>
    <mergeCell ref="D249:D251"/>
    <mergeCell ref="E249:E251"/>
    <mergeCell ref="F249:F251"/>
    <mergeCell ref="G249:G251"/>
    <mergeCell ref="H249:H251"/>
    <mergeCell ref="A252:A254"/>
    <mergeCell ref="B252:B254"/>
    <mergeCell ref="C252:C254"/>
    <mergeCell ref="D252:D254"/>
    <mergeCell ref="E252:E254"/>
    <mergeCell ref="F252:F254"/>
    <mergeCell ref="G252:G254"/>
    <mergeCell ref="H252:H254"/>
    <mergeCell ref="A246:A248"/>
    <mergeCell ref="B246:B248"/>
    <mergeCell ref="C246:C248"/>
    <mergeCell ref="D246:D248"/>
    <mergeCell ref="E246:E248"/>
    <mergeCell ref="F246:F248"/>
    <mergeCell ref="G246:G248"/>
    <mergeCell ref="H246:H248"/>
    <mergeCell ref="I244:I245"/>
    <mergeCell ref="E244:E245"/>
    <mergeCell ref="F244:F245"/>
    <mergeCell ref="G244:G245"/>
    <mergeCell ref="H244:H245"/>
    <mergeCell ref="A241:A245"/>
    <mergeCell ref="B241:B245"/>
    <mergeCell ref="C241:C245"/>
    <mergeCell ref="D241:D245"/>
    <mergeCell ref="M244:M245"/>
    <mergeCell ref="J244:J245"/>
    <mergeCell ref="K244:K245"/>
    <mergeCell ref="L244:L245"/>
    <mergeCell ref="G238:G240"/>
    <mergeCell ref="H238:H240"/>
    <mergeCell ref="E242:E243"/>
    <mergeCell ref="F242:F243"/>
    <mergeCell ref="G242:G243"/>
    <mergeCell ref="H242:H243"/>
    <mergeCell ref="A238:A240"/>
    <mergeCell ref="B238:B240"/>
    <mergeCell ref="C238:C240"/>
    <mergeCell ref="D238:D240"/>
    <mergeCell ref="E238:E240"/>
    <mergeCell ref="F238:F240"/>
    <mergeCell ref="H232:H234"/>
    <mergeCell ref="E235:E237"/>
    <mergeCell ref="F235:F237"/>
    <mergeCell ref="G235:G237"/>
    <mergeCell ref="H235:H237"/>
    <mergeCell ref="M235:M237"/>
    <mergeCell ref="A226:D228"/>
    <mergeCell ref="A229:M229"/>
    <mergeCell ref="A230:M230"/>
    <mergeCell ref="E232:E234"/>
    <mergeCell ref="F232:F234"/>
    <mergeCell ref="G232:G234"/>
    <mergeCell ref="I235:I237"/>
    <mergeCell ref="J235:J237"/>
    <mergeCell ref="K235:K237"/>
    <mergeCell ref="L235:L237"/>
    <mergeCell ref="A231:A237"/>
    <mergeCell ref="B231:B237"/>
    <mergeCell ref="C231:C237"/>
    <mergeCell ref="D231:D237"/>
    <mergeCell ref="A210:D210"/>
    <mergeCell ref="A211:M211"/>
    <mergeCell ref="A218:M218"/>
    <mergeCell ref="F223:F224"/>
    <mergeCell ref="G223:G224"/>
    <mergeCell ref="H223:H224"/>
    <mergeCell ref="M223:M224"/>
    <mergeCell ref="I223:I224"/>
    <mergeCell ref="J223:J224"/>
    <mergeCell ref="K223:K224"/>
    <mergeCell ref="L223:L224"/>
    <mergeCell ref="B221:B222"/>
    <mergeCell ref="C221:C222"/>
    <mergeCell ref="D221:D222"/>
    <mergeCell ref="A219:A220"/>
    <mergeCell ref="B219:B220"/>
    <mergeCell ref="C219:C220"/>
    <mergeCell ref="D219:D220"/>
    <mergeCell ref="A223:D225"/>
    <mergeCell ref="A214:D216"/>
    <mergeCell ref="F214:F215"/>
    <mergeCell ref="G214:G215"/>
    <mergeCell ref="H214:H215"/>
    <mergeCell ref="I214:I215"/>
    <mergeCell ref="G204:G206"/>
    <mergeCell ref="H204:H206"/>
    <mergeCell ref="A207:A209"/>
    <mergeCell ref="B207:B209"/>
    <mergeCell ref="C207:C209"/>
    <mergeCell ref="D207:D209"/>
    <mergeCell ref="E207:E209"/>
    <mergeCell ref="F207:F209"/>
    <mergeCell ref="G207:G209"/>
    <mergeCell ref="H207:H209"/>
    <mergeCell ref="A204:A206"/>
    <mergeCell ref="B204:B206"/>
    <mergeCell ref="C204:C206"/>
    <mergeCell ref="D204:D206"/>
    <mergeCell ref="E204:E206"/>
    <mergeCell ref="F204:F206"/>
    <mergeCell ref="A200:M200"/>
    <mergeCell ref="A201:A203"/>
    <mergeCell ref="B201:B203"/>
    <mergeCell ref="C201:C203"/>
    <mergeCell ref="D201:D203"/>
    <mergeCell ref="E201:E203"/>
    <mergeCell ref="F201:F203"/>
    <mergeCell ref="G201:G203"/>
    <mergeCell ref="H201:H203"/>
    <mergeCell ref="A196:D198"/>
    <mergeCell ref="A199:M199"/>
    <mergeCell ref="A181:A183"/>
    <mergeCell ref="B181:B183"/>
    <mergeCell ref="C181:C183"/>
    <mergeCell ref="D181:D183"/>
    <mergeCell ref="A184:A186"/>
    <mergeCell ref="B184:B186"/>
    <mergeCell ref="C184:C186"/>
    <mergeCell ref="D184:D186"/>
    <mergeCell ref="A190:A192"/>
    <mergeCell ref="B190:B192"/>
    <mergeCell ref="C190:C192"/>
    <mergeCell ref="D190:D192"/>
    <mergeCell ref="A187:A189"/>
    <mergeCell ref="B187:B189"/>
    <mergeCell ref="C187:C189"/>
    <mergeCell ref="D187:D189"/>
    <mergeCell ref="A193:A195"/>
    <mergeCell ref="B193:B195"/>
    <mergeCell ref="C193:C195"/>
    <mergeCell ref="D193:D195"/>
    <mergeCell ref="A150:A151"/>
    <mergeCell ref="B150:B151"/>
    <mergeCell ref="C150:C151"/>
    <mergeCell ref="D150:D151"/>
    <mergeCell ref="A152:A153"/>
    <mergeCell ref="B152:B153"/>
    <mergeCell ref="C152:C153"/>
    <mergeCell ref="D152:D153"/>
    <mergeCell ref="C159:C162"/>
    <mergeCell ref="D159:D162"/>
    <mergeCell ref="A156:A158"/>
    <mergeCell ref="B156:B158"/>
    <mergeCell ref="C157:C158"/>
    <mergeCell ref="D157:D158"/>
    <mergeCell ref="B159:B162"/>
    <mergeCell ref="A145:A147"/>
    <mergeCell ref="B145:B147"/>
    <mergeCell ref="C145:C147"/>
    <mergeCell ref="D145:D147"/>
    <mergeCell ref="A148:A149"/>
    <mergeCell ref="B148:B149"/>
    <mergeCell ref="C148:C149"/>
    <mergeCell ref="D148:D149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27:A130"/>
    <mergeCell ref="B127:B130"/>
    <mergeCell ref="C127:C130"/>
    <mergeCell ref="D127:D130"/>
    <mergeCell ref="A136:D138"/>
    <mergeCell ref="A139:M139"/>
    <mergeCell ref="A117:A119"/>
    <mergeCell ref="B117:B119"/>
    <mergeCell ref="C117:C119"/>
    <mergeCell ref="D117:D119"/>
    <mergeCell ref="A121:A124"/>
    <mergeCell ref="B121:B124"/>
    <mergeCell ref="C121:C124"/>
    <mergeCell ref="D121:D124"/>
    <mergeCell ref="A110:A112"/>
    <mergeCell ref="B110:B112"/>
    <mergeCell ref="C110:C112"/>
    <mergeCell ref="D110:D112"/>
    <mergeCell ref="A114:A116"/>
    <mergeCell ref="B114:B116"/>
    <mergeCell ref="C114:C116"/>
    <mergeCell ref="D114:D116"/>
    <mergeCell ref="D101:D103"/>
    <mergeCell ref="B104:B106"/>
    <mergeCell ref="C104:C106"/>
    <mergeCell ref="D104:D106"/>
    <mergeCell ref="A107:A109"/>
    <mergeCell ref="B107:B109"/>
    <mergeCell ref="C107:C109"/>
    <mergeCell ref="D107:D109"/>
    <mergeCell ref="A95:A106"/>
    <mergeCell ref="B95:B97"/>
    <mergeCell ref="C95:C97"/>
    <mergeCell ref="D95:D97"/>
    <mergeCell ref="B98:B100"/>
    <mergeCell ref="C98:C100"/>
    <mergeCell ref="D98:D100"/>
    <mergeCell ref="B101:B103"/>
    <mergeCell ref="L86:L87"/>
    <mergeCell ref="C101:C103"/>
    <mergeCell ref="A89:D89"/>
    <mergeCell ref="A90:M90"/>
    <mergeCell ref="A91:A94"/>
    <mergeCell ref="B91:B94"/>
    <mergeCell ref="C91:C94"/>
    <mergeCell ref="D91:D94"/>
    <mergeCell ref="E91:E92"/>
    <mergeCell ref="F91:F92"/>
    <mergeCell ref="G91:G92"/>
    <mergeCell ref="H91:H92"/>
    <mergeCell ref="J91:J92"/>
    <mergeCell ref="K91:K92"/>
    <mergeCell ref="L91:L92"/>
    <mergeCell ref="M91:M92"/>
    <mergeCell ref="I91:I92"/>
    <mergeCell ref="A17:M17"/>
    <mergeCell ref="A18:M18"/>
    <mergeCell ref="A19:M19"/>
    <mergeCell ref="K62:K63"/>
    <mergeCell ref="L62:L63"/>
    <mergeCell ref="M62:M63"/>
    <mergeCell ref="A36:A38"/>
    <mergeCell ref="B36:B38"/>
    <mergeCell ref="A5:M5"/>
    <mergeCell ref="A6:M6"/>
    <mergeCell ref="A7:M7"/>
    <mergeCell ref="A8:M8"/>
    <mergeCell ref="A9:M9"/>
    <mergeCell ref="A10:M10"/>
    <mergeCell ref="A11:M11"/>
    <mergeCell ref="A12:A15"/>
    <mergeCell ref="B12:B15"/>
    <mergeCell ref="C12:C15"/>
    <mergeCell ref="D12:D15"/>
    <mergeCell ref="E12:E15"/>
    <mergeCell ref="F12:M12"/>
    <mergeCell ref="F13:M13"/>
    <mergeCell ref="F14:F15"/>
    <mergeCell ref="G14:M14"/>
    <mergeCell ref="A28:A30"/>
    <mergeCell ref="B28:B30"/>
    <mergeCell ref="C28:C30"/>
    <mergeCell ref="D28:D30"/>
    <mergeCell ref="A47:A50"/>
    <mergeCell ref="B47:B50"/>
    <mergeCell ref="C47:C50"/>
    <mergeCell ref="D47:D50"/>
    <mergeCell ref="A33:A35"/>
    <mergeCell ref="B33:B35"/>
    <mergeCell ref="C33:C35"/>
    <mergeCell ref="D33:D35"/>
    <mergeCell ref="C36:C38"/>
    <mergeCell ref="D36:D38"/>
    <mergeCell ref="E62:E63"/>
    <mergeCell ref="F62:F63"/>
    <mergeCell ref="G62:G63"/>
    <mergeCell ref="H62:H63"/>
    <mergeCell ref="I62:I63"/>
    <mergeCell ref="A66:D68"/>
    <mergeCell ref="J62:J63"/>
    <mergeCell ref="A62:A63"/>
    <mergeCell ref="B62:B63"/>
    <mergeCell ref="C62:C63"/>
    <mergeCell ref="D62:D63"/>
    <mergeCell ref="A279:A281"/>
    <mergeCell ref="A54:A56"/>
    <mergeCell ref="B54:B56"/>
    <mergeCell ref="C54:C56"/>
    <mergeCell ref="D54:D56"/>
    <mergeCell ref="A78:M78"/>
    <mergeCell ref="A86:A87"/>
    <mergeCell ref="B86:B87"/>
    <mergeCell ref="C86:C87"/>
    <mergeCell ref="D86:D87"/>
    <mergeCell ref="E86:E87"/>
    <mergeCell ref="F86:F87"/>
    <mergeCell ref="G86:G87"/>
    <mergeCell ref="H86:H87"/>
    <mergeCell ref="M86:M87"/>
    <mergeCell ref="I86:I87"/>
    <mergeCell ref="J86:J87"/>
    <mergeCell ref="K86:K87"/>
    <mergeCell ref="A69:M69"/>
    <mergeCell ref="A70:A72"/>
    <mergeCell ref="B70:B72"/>
    <mergeCell ref="C70:C72"/>
    <mergeCell ref="D70:D72"/>
    <mergeCell ref="A75:D77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rowBreaks count="8" manualBreakCount="8">
    <brk id="41" max="12" man="1"/>
    <brk id="53" max="12" man="1"/>
    <brk id="72" max="12" man="1"/>
    <brk id="93" max="12" man="1"/>
    <brk id="135" max="12" man="1"/>
    <brk id="162" max="12" man="1"/>
    <brk id="284" max="12" man="1"/>
    <brk id="30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tabSelected="1" view="pageBreakPreview" zoomScale="70" zoomScaleNormal="70" zoomScaleSheetLayoutView="70" workbookViewId="0">
      <selection activeCell="A3" sqref="A3:M3"/>
    </sheetView>
  </sheetViews>
  <sheetFormatPr defaultRowHeight="15" x14ac:dyDescent="0.25"/>
  <cols>
    <col min="1" max="1" width="8.140625" style="3" customWidth="1"/>
    <col min="2" max="2" width="37.28515625" style="3" customWidth="1"/>
    <col min="3" max="3" width="31.5703125" style="3" customWidth="1"/>
    <col min="4" max="4" width="30" style="3" customWidth="1"/>
    <col min="5" max="5" width="17" style="3" customWidth="1"/>
    <col min="6" max="6" width="18.5703125" style="99" bestFit="1" customWidth="1"/>
    <col min="7" max="7" width="16.5703125" style="99" customWidth="1"/>
    <col min="8" max="8" width="18.5703125" style="99" bestFit="1" customWidth="1"/>
    <col min="9" max="10" width="17.28515625" style="99" bestFit="1" customWidth="1"/>
    <col min="11" max="11" width="21.140625" style="99" customWidth="1"/>
    <col min="12" max="12" width="17.28515625" style="99" bestFit="1" customWidth="1"/>
    <col min="13" max="13" width="25.5703125" style="99" customWidth="1"/>
    <col min="14" max="14" width="15" style="2" customWidth="1"/>
    <col min="15" max="15" width="15.7109375" style="3" customWidth="1"/>
    <col min="16" max="16" width="13" style="3" bestFit="1" customWidth="1"/>
    <col min="17" max="18" width="12.28515625" style="3" bestFit="1" customWidth="1"/>
    <col min="19" max="16384" width="9.140625" style="3"/>
  </cols>
  <sheetData>
    <row r="1" spans="1:14" x14ac:dyDescent="0.2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8"/>
    </row>
    <row r="2" spans="1:14" x14ac:dyDescent="0.2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8"/>
    </row>
    <row r="3" spans="1:14" x14ac:dyDescent="0.25">
      <c r="A3" s="188" t="s">
        <v>278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8"/>
    </row>
    <row r="4" spans="1:14" x14ac:dyDescent="0.2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8"/>
    </row>
    <row r="5" spans="1:14" x14ac:dyDescent="0.2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9"/>
    </row>
    <row r="6" spans="1:14" x14ac:dyDescent="0.25">
      <c r="A6" s="190" t="s">
        <v>360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0"/>
    </row>
    <row r="7" spans="1:14" x14ac:dyDescent="0.25">
      <c r="A7" s="185" t="s">
        <v>3</v>
      </c>
      <c r="B7" s="185" t="s">
        <v>364</v>
      </c>
      <c r="C7" s="185" t="s">
        <v>5</v>
      </c>
      <c r="D7" s="185" t="s">
        <v>6</v>
      </c>
      <c r="E7" s="185" t="s">
        <v>7</v>
      </c>
      <c r="F7" s="191" t="s">
        <v>8</v>
      </c>
      <c r="G7" s="191"/>
      <c r="H7" s="191"/>
      <c r="I7" s="191"/>
      <c r="J7" s="191"/>
      <c r="K7" s="191"/>
      <c r="L7" s="191"/>
      <c r="M7" s="191"/>
      <c r="N7" s="11"/>
    </row>
    <row r="8" spans="1:14" x14ac:dyDescent="0.25">
      <c r="A8" s="185"/>
      <c r="B8" s="185"/>
      <c r="C8" s="185"/>
      <c r="D8" s="185"/>
      <c r="E8" s="185"/>
      <c r="F8" s="191" t="s">
        <v>361</v>
      </c>
      <c r="G8" s="191"/>
      <c r="H8" s="191"/>
      <c r="I8" s="191"/>
      <c r="J8" s="191"/>
      <c r="K8" s="191"/>
      <c r="L8" s="191"/>
      <c r="M8" s="191"/>
      <c r="N8" s="11"/>
    </row>
    <row r="9" spans="1:14" x14ac:dyDescent="0.25">
      <c r="A9" s="185"/>
      <c r="B9" s="185"/>
      <c r="C9" s="185"/>
      <c r="D9" s="185"/>
      <c r="E9" s="185"/>
      <c r="F9" s="191" t="s">
        <v>10</v>
      </c>
      <c r="G9" s="97"/>
      <c r="H9" s="191"/>
      <c r="I9" s="191"/>
      <c r="J9" s="191"/>
      <c r="K9" s="191"/>
      <c r="L9" s="191"/>
      <c r="M9" s="191"/>
      <c r="N9" s="11"/>
    </row>
    <row r="10" spans="1:14" x14ac:dyDescent="0.25">
      <c r="A10" s="185"/>
      <c r="B10" s="185"/>
      <c r="C10" s="185"/>
      <c r="D10" s="185"/>
      <c r="E10" s="185"/>
      <c r="F10" s="191"/>
      <c r="G10" s="97" t="s">
        <v>12</v>
      </c>
      <c r="H10" s="97" t="s">
        <v>13</v>
      </c>
      <c r="I10" s="97" t="s">
        <v>14</v>
      </c>
      <c r="J10" s="97" t="s">
        <v>274</v>
      </c>
      <c r="K10" s="97" t="s">
        <v>275</v>
      </c>
      <c r="L10" s="97" t="s">
        <v>276</v>
      </c>
      <c r="M10" s="97" t="s">
        <v>277</v>
      </c>
      <c r="N10" s="11"/>
    </row>
    <row r="11" spans="1:14" x14ac:dyDescent="0.2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97">
        <v>6</v>
      </c>
      <c r="G11" s="97">
        <v>7</v>
      </c>
      <c r="H11" s="97">
        <v>8</v>
      </c>
      <c r="I11" s="97">
        <v>9</v>
      </c>
      <c r="J11" s="97">
        <v>10</v>
      </c>
      <c r="K11" s="97">
        <v>11</v>
      </c>
      <c r="L11" s="97">
        <v>12</v>
      </c>
      <c r="M11" s="97">
        <v>13</v>
      </c>
      <c r="N11" s="12"/>
    </row>
    <row r="12" spans="1:14" ht="33" customHeight="1" x14ac:dyDescent="0.25">
      <c r="A12" s="187" t="s">
        <v>351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7"/>
    </row>
    <row r="13" spans="1:14" s="18" customFormat="1" ht="24.75" customHeight="1" x14ac:dyDescent="0.25">
      <c r="A13" s="186" t="s">
        <v>352</v>
      </c>
      <c r="B13" s="186" t="s">
        <v>365</v>
      </c>
      <c r="C13" s="179" t="s">
        <v>20</v>
      </c>
      <c r="D13" s="179" t="s">
        <v>20</v>
      </c>
      <c r="E13" s="79" t="s">
        <v>10</v>
      </c>
      <c r="F13" s="77">
        <f>G13+H13+I13+J13+K13+L13+M13</f>
        <v>45289670</v>
      </c>
      <c r="G13" s="77">
        <f t="shared" ref="G13:M13" si="0">G14+G15</f>
        <v>8231770</v>
      </c>
      <c r="H13" s="77">
        <f t="shared" si="0"/>
        <v>9478700</v>
      </c>
      <c r="I13" s="77">
        <f t="shared" si="0"/>
        <v>5574000</v>
      </c>
      <c r="J13" s="77">
        <f>J14+J15</f>
        <v>5501300</v>
      </c>
      <c r="K13" s="77">
        <f t="shared" si="0"/>
        <v>5501300</v>
      </c>
      <c r="L13" s="77">
        <f t="shared" si="0"/>
        <v>5501300</v>
      </c>
      <c r="M13" s="77">
        <f t="shared" si="0"/>
        <v>5501300</v>
      </c>
      <c r="N13" s="17"/>
    </row>
    <row r="14" spans="1:14" s="18" customFormat="1" ht="34.5" customHeight="1" x14ac:dyDescent="0.25">
      <c r="A14" s="186"/>
      <c r="B14" s="186"/>
      <c r="C14" s="180"/>
      <c r="D14" s="180"/>
      <c r="E14" s="79" t="s">
        <v>21</v>
      </c>
      <c r="F14" s="77">
        <f>G14+H14+I14+J14+K14+L14+M14</f>
        <v>44204000</v>
      </c>
      <c r="G14" s="77">
        <v>7146100</v>
      </c>
      <c r="H14" s="77">
        <v>9478700</v>
      </c>
      <c r="I14" s="77">
        <f>5500300+122700-49000</f>
        <v>5574000</v>
      </c>
      <c r="J14" s="77">
        <f>I14-122700+50000</f>
        <v>5501300</v>
      </c>
      <c r="K14" s="77">
        <f>J14</f>
        <v>5501300</v>
      </c>
      <c r="L14" s="77">
        <f>K14</f>
        <v>5501300</v>
      </c>
      <c r="M14" s="77">
        <f>L14</f>
        <v>5501300</v>
      </c>
      <c r="N14" s="94">
        <f>I14-K14</f>
        <v>72700</v>
      </c>
    </row>
    <row r="15" spans="1:14" s="18" customFormat="1" ht="46.5" customHeight="1" x14ac:dyDescent="0.25">
      <c r="A15" s="186"/>
      <c r="B15" s="186"/>
      <c r="C15" s="181"/>
      <c r="D15" s="181"/>
      <c r="E15" s="79" t="s">
        <v>93</v>
      </c>
      <c r="F15" s="77">
        <f>G15+H15+I15+J15+K15+L15+M15</f>
        <v>1085670</v>
      </c>
      <c r="G15" s="77">
        <v>1085670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17"/>
    </row>
    <row r="16" spans="1:14" s="18" customFormat="1" ht="28.5" hidden="1" x14ac:dyDescent="0.25">
      <c r="A16" s="186"/>
      <c r="B16" s="186"/>
      <c r="C16" s="79" t="s">
        <v>359</v>
      </c>
      <c r="D16" s="79" t="s">
        <v>350</v>
      </c>
      <c r="E16" s="79" t="s">
        <v>21</v>
      </c>
      <c r="F16" s="77" t="e">
        <f t="shared" ref="F16" si="1">SUM(H16:M16)</f>
        <v>#REF!</v>
      </c>
      <c r="G16" s="77"/>
      <c r="H16" s="77" t="e">
        <f>#REF!+#REF!</f>
        <v>#REF!</v>
      </c>
      <c r="I16" s="77" t="e">
        <f>#REF!+#REF!</f>
        <v>#REF!</v>
      </c>
      <c r="J16" s="77" t="e">
        <f>#REF!+#REF!</f>
        <v>#REF!</v>
      </c>
      <c r="K16" s="77"/>
      <c r="L16" s="77" t="e">
        <f>#REF!+#REF!</f>
        <v>#REF!</v>
      </c>
      <c r="M16" s="77" t="e">
        <f>#REF!+#REF!</f>
        <v>#REF!</v>
      </c>
      <c r="N16" s="17"/>
    </row>
    <row r="17" spans="1:15" s="20" customFormat="1" ht="21" customHeight="1" x14ac:dyDescent="0.25">
      <c r="A17" s="186" t="s">
        <v>353</v>
      </c>
      <c r="B17" s="186" t="s">
        <v>367</v>
      </c>
      <c r="C17" s="186" t="s">
        <v>20</v>
      </c>
      <c r="D17" s="186" t="s">
        <v>20</v>
      </c>
      <c r="E17" s="79" t="s">
        <v>10</v>
      </c>
      <c r="F17" s="77">
        <f>G17+H17+I17+K17+L17+M17</f>
        <v>280649090.333</v>
      </c>
      <c r="G17" s="77">
        <f t="shared" ref="G17:M17" si="2">G18+G19</f>
        <v>45431757</v>
      </c>
      <c r="H17" s="77">
        <f t="shared" si="2"/>
        <v>52527633.333000004</v>
      </c>
      <c r="I17" s="77">
        <f t="shared" si="2"/>
        <v>52677500</v>
      </c>
      <c r="J17" s="77">
        <f t="shared" si="2"/>
        <v>47277500</v>
      </c>
      <c r="K17" s="77">
        <f t="shared" si="2"/>
        <v>43337400</v>
      </c>
      <c r="L17" s="77">
        <f t="shared" si="2"/>
        <v>43337400</v>
      </c>
      <c r="M17" s="77">
        <f t="shared" si="2"/>
        <v>43337400</v>
      </c>
      <c r="N17" s="19"/>
    </row>
    <row r="18" spans="1:15" s="20" customFormat="1" ht="42.75" x14ac:dyDescent="0.25">
      <c r="A18" s="186"/>
      <c r="B18" s="186"/>
      <c r="C18" s="186"/>
      <c r="D18" s="186"/>
      <c r="E18" s="79" t="s">
        <v>93</v>
      </c>
      <c r="F18" s="77">
        <f>G18+H18+I18+J18+K18+L18+M18</f>
        <v>174170500</v>
      </c>
      <c r="G18" s="77">
        <v>19316600</v>
      </c>
      <c r="H18" s="77">
        <v>23484500</v>
      </c>
      <c r="I18" s="77">
        <v>28342500</v>
      </c>
      <c r="J18" s="77">
        <v>28342500</v>
      </c>
      <c r="K18" s="77">
        <v>24894800</v>
      </c>
      <c r="L18" s="77">
        <v>24894800</v>
      </c>
      <c r="M18" s="77">
        <v>24894800</v>
      </c>
      <c r="N18" s="19"/>
    </row>
    <row r="19" spans="1:15" s="20" customFormat="1" ht="21" customHeight="1" x14ac:dyDescent="0.25">
      <c r="A19" s="186"/>
      <c r="B19" s="186"/>
      <c r="C19" s="186"/>
      <c r="D19" s="186"/>
      <c r="E19" s="79" t="s">
        <v>21</v>
      </c>
      <c r="F19" s="77">
        <f>G19+H19+I19+J19+K19+L19+M19</f>
        <v>153756090.333</v>
      </c>
      <c r="G19" s="77">
        <v>26115157</v>
      </c>
      <c r="H19" s="77">
        <v>29043133.333000001</v>
      </c>
      <c r="I19" s="77">
        <v>24335000</v>
      </c>
      <c r="J19" s="77">
        <v>18935000</v>
      </c>
      <c r="K19" s="77">
        <v>18442600</v>
      </c>
      <c r="L19" s="77">
        <v>18442600</v>
      </c>
      <c r="M19" s="77">
        <v>18442600</v>
      </c>
      <c r="N19" s="19"/>
    </row>
    <row r="20" spans="1:15" ht="21.75" customHeight="1" x14ac:dyDescent="0.25">
      <c r="A20" s="186" t="s">
        <v>354</v>
      </c>
      <c r="B20" s="186" t="s">
        <v>368</v>
      </c>
      <c r="C20" s="186" t="s">
        <v>20</v>
      </c>
      <c r="D20" s="186" t="s">
        <v>20</v>
      </c>
      <c r="E20" s="79" t="s">
        <v>10</v>
      </c>
      <c r="F20" s="78">
        <f>G20+H20+I20+J20+K20+L20+M20</f>
        <v>5466557635.2200003</v>
      </c>
      <c r="G20" s="78">
        <f>G21+G22</f>
        <v>2593306158.1500001</v>
      </c>
      <c r="H20" s="78">
        <f>H21+H22</f>
        <v>2857901842.27</v>
      </c>
      <c r="I20" s="78">
        <v>3065321</v>
      </c>
      <c r="J20" s="78">
        <v>3184178.3</v>
      </c>
      <c r="K20" s="78">
        <v>3033378.5</v>
      </c>
      <c r="L20" s="78">
        <v>3033378.5</v>
      </c>
      <c r="M20" s="78">
        <v>3033378.5</v>
      </c>
      <c r="N20" s="15"/>
      <c r="O20" s="4"/>
    </row>
    <row r="21" spans="1:15" ht="42.75" x14ac:dyDescent="0.25">
      <c r="A21" s="186"/>
      <c r="B21" s="186"/>
      <c r="C21" s="186"/>
      <c r="D21" s="186"/>
      <c r="E21" s="79" t="s">
        <v>93</v>
      </c>
      <c r="F21" s="77">
        <f>G21+H21+I21+J21+K21+L21+M21</f>
        <v>16080720400</v>
      </c>
      <c r="G21" s="77">
        <v>1633645700</v>
      </c>
      <c r="H21" s="77">
        <v>2225785900</v>
      </c>
      <c r="I21" s="77">
        <f>((1028903000)+1268076100)+21059900+3120000</f>
        <v>2321159000</v>
      </c>
      <c r="J21" s="77">
        <v>2584982300</v>
      </c>
      <c r="K21" s="77">
        <v>2438382500</v>
      </c>
      <c r="L21" s="77">
        <v>2438382500</v>
      </c>
      <c r="M21" s="77">
        <v>2438382500</v>
      </c>
      <c r="N21" s="14"/>
    </row>
    <row r="22" spans="1:15" ht="96" customHeight="1" x14ac:dyDescent="0.25">
      <c r="A22" s="186"/>
      <c r="B22" s="186"/>
      <c r="C22" s="186"/>
      <c r="D22" s="186"/>
      <c r="E22" s="79" t="s">
        <v>21</v>
      </c>
      <c r="F22" s="78">
        <f>G22+H22+I22+J22+L22+M22</f>
        <v>4049003122.4200001</v>
      </c>
      <c r="G22" s="77">
        <v>959660458.14999998</v>
      </c>
      <c r="H22" s="77">
        <v>632115942.26999998</v>
      </c>
      <c r="I22" s="77">
        <f>(((((13078000)+228757091)+164275794.98)+221440136.01)+18803300)+12324400+0.01</f>
        <v>658678722</v>
      </c>
      <c r="J22" s="77">
        <f>602316000</f>
        <v>602316000</v>
      </c>
      <c r="K22" s="77">
        <f>598116000</f>
        <v>598116000</v>
      </c>
      <c r="L22" s="77">
        <f>K22</f>
        <v>598116000</v>
      </c>
      <c r="M22" s="77">
        <f>L22</f>
        <v>598116000</v>
      </c>
      <c r="N22" s="11"/>
    </row>
    <row r="23" spans="1:15" ht="19.5" customHeight="1" x14ac:dyDescent="0.25">
      <c r="A23" s="186" t="s">
        <v>211</v>
      </c>
      <c r="B23" s="186"/>
      <c r="C23" s="186"/>
      <c r="D23" s="186"/>
      <c r="E23" s="79" t="s">
        <v>10</v>
      </c>
      <c r="F23" s="77">
        <f>G23+H23+I23+J23+K23+L23+M23</f>
        <v>21101055782.752998</v>
      </c>
      <c r="G23" s="77">
        <f t="shared" ref="G23:M23" si="3">G24+G25</f>
        <v>2646969685.1500001</v>
      </c>
      <c r="H23" s="77">
        <f t="shared" si="3"/>
        <v>2919908175.6029997</v>
      </c>
      <c r="I23" s="77">
        <f t="shared" si="3"/>
        <v>3038089222</v>
      </c>
      <c r="J23" s="77">
        <f t="shared" si="3"/>
        <v>3240077100</v>
      </c>
      <c r="K23" s="77">
        <f t="shared" si="3"/>
        <v>3085337200</v>
      </c>
      <c r="L23" s="77">
        <f t="shared" si="3"/>
        <v>3085337200</v>
      </c>
      <c r="M23" s="77">
        <f t="shared" si="3"/>
        <v>3085337200</v>
      </c>
      <c r="N23" s="14"/>
    </row>
    <row r="24" spans="1:15" ht="42.75" x14ac:dyDescent="0.25">
      <c r="A24" s="186"/>
      <c r="B24" s="186"/>
      <c r="C24" s="186"/>
      <c r="D24" s="186"/>
      <c r="E24" s="79" t="s">
        <v>93</v>
      </c>
      <c r="F24" s="77">
        <f>G24+H24+I24+J24+K24+L24+M24</f>
        <v>16255976570</v>
      </c>
      <c r="G24" s="77">
        <f>G15+G18+G21</f>
        <v>1654047970</v>
      </c>
      <c r="H24" s="77">
        <f t="shared" ref="H24:M24" si="4">H15+H18+H21</f>
        <v>2249270400</v>
      </c>
      <c r="I24" s="77">
        <f t="shared" si="4"/>
        <v>2349501500</v>
      </c>
      <c r="J24" s="77">
        <f t="shared" si="4"/>
        <v>2613324800</v>
      </c>
      <c r="K24" s="77">
        <f t="shared" si="4"/>
        <v>2463277300</v>
      </c>
      <c r="L24" s="77">
        <f t="shared" si="4"/>
        <v>2463277300</v>
      </c>
      <c r="M24" s="77">
        <f t="shared" si="4"/>
        <v>2463277300</v>
      </c>
      <c r="N24" s="14"/>
    </row>
    <row r="25" spans="1:15" ht="21.75" customHeight="1" x14ac:dyDescent="0.25">
      <c r="A25" s="186"/>
      <c r="B25" s="186"/>
      <c r="C25" s="186"/>
      <c r="D25" s="186"/>
      <c r="E25" s="79" t="s">
        <v>21</v>
      </c>
      <c r="F25" s="77">
        <f>G25+H25+I25+J25+K25+L25+M25</f>
        <v>4845079212.7530003</v>
      </c>
      <c r="G25" s="77">
        <f>G14+G19+G22</f>
        <v>992921715.14999998</v>
      </c>
      <c r="H25" s="77">
        <f t="shared" ref="H25:M25" si="5">H14+H19+H22</f>
        <v>670637775.60299993</v>
      </c>
      <c r="I25" s="77">
        <f t="shared" si="5"/>
        <v>688587722</v>
      </c>
      <c r="J25" s="77">
        <f t="shared" si="5"/>
        <v>626752300</v>
      </c>
      <c r="K25" s="77">
        <f t="shared" si="5"/>
        <v>622059900</v>
      </c>
      <c r="L25" s="77">
        <f t="shared" si="5"/>
        <v>622059900</v>
      </c>
      <c r="M25" s="77">
        <f t="shared" si="5"/>
        <v>622059900</v>
      </c>
      <c r="N25" s="14"/>
    </row>
    <row r="26" spans="1:15" s="20" customFormat="1" ht="28.5" customHeight="1" x14ac:dyDescent="0.25">
      <c r="A26" s="185" t="s">
        <v>355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9"/>
    </row>
    <row r="27" spans="1:15" ht="128.25" x14ac:dyDescent="0.25">
      <c r="A27" s="80" t="s">
        <v>352</v>
      </c>
      <c r="B27" s="79" t="s">
        <v>366</v>
      </c>
      <c r="C27" s="79" t="s">
        <v>20</v>
      </c>
      <c r="D27" s="79" t="s">
        <v>20</v>
      </c>
      <c r="E27" s="79" t="s">
        <v>21</v>
      </c>
      <c r="F27" s="77">
        <f>G27+H27+I27+J27+M27</f>
        <v>2745000</v>
      </c>
      <c r="G27" s="77">
        <v>549000</v>
      </c>
      <c r="H27" s="77">
        <v>549000</v>
      </c>
      <c r="I27" s="77">
        <v>549000</v>
      </c>
      <c r="J27" s="77">
        <f>I27</f>
        <v>549000</v>
      </c>
      <c r="K27" s="77">
        <f>J27</f>
        <v>549000</v>
      </c>
      <c r="L27" s="77">
        <f t="shared" ref="L27:M27" si="6">K27</f>
        <v>549000</v>
      </c>
      <c r="M27" s="77">
        <f t="shared" si="6"/>
        <v>549000</v>
      </c>
      <c r="N27" s="14"/>
    </row>
    <row r="28" spans="1:15" ht="15" customHeight="1" x14ac:dyDescent="0.25">
      <c r="A28" s="201" t="s">
        <v>233</v>
      </c>
      <c r="B28" s="202"/>
      <c r="C28" s="202"/>
      <c r="D28" s="203"/>
      <c r="E28" s="79" t="s">
        <v>265</v>
      </c>
      <c r="F28" s="77">
        <f>G28+H28+I28+J28+K28+L28+M28</f>
        <v>3805000</v>
      </c>
      <c r="G28" s="77">
        <f>G29+G30</f>
        <v>589000</v>
      </c>
      <c r="H28" s="77">
        <f t="shared" ref="H28:M28" si="7">H29+H30</f>
        <v>569000</v>
      </c>
      <c r="I28" s="77">
        <f t="shared" si="7"/>
        <v>549000</v>
      </c>
      <c r="J28" s="77">
        <f t="shared" si="7"/>
        <v>549000</v>
      </c>
      <c r="K28" s="77">
        <f t="shared" si="7"/>
        <v>549000</v>
      </c>
      <c r="L28" s="77">
        <f t="shared" si="7"/>
        <v>500000</v>
      </c>
      <c r="M28" s="77">
        <f t="shared" si="7"/>
        <v>500000</v>
      </c>
      <c r="N28" s="11"/>
    </row>
    <row r="29" spans="1:15" ht="21" customHeight="1" x14ac:dyDescent="0.25">
      <c r="A29" s="204"/>
      <c r="B29" s="205"/>
      <c r="C29" s="205"/>
      <c r="D29" s="206"/>
      <c r="E29" s="79" t="s">
        <v>21</v>
      </c>
      <c r="F29" s="77">
        <f>G29+H29+I29+J29+K29+L29+M29</f>
        <v>3745000</v>
      </c>
      <c r="G29" s="77">
        <f>G27</f>
        <v>549000</v>
      </c>
      <c r="H29" s="77">
        <f>H27</f>
        <v>549000</v>
      </c>
      <c r="I29" s="77">
        <f>I27</f>
        <v>549000</v>
      </c>
      <c r="J29" s="77">
        <f>J27</f>
        <v>549000</v>
      </c>
      <c r="K29" s="77">
        <f>K27</f>
        <v>549000</v>
      </c>
      <c r="L29" s="77">
        <v>500000</v>
      </c>
      <c r="M29" s="77">
        <v>500000</v>
      </c>
      <c r="N29" s="11" t="s">
        <v>344</v>
      </c>
      <c r="O29" s="3" t="s">
        <v>337</v>
      </c>
    </row>
    <row r="30" spans="1:15" ht="45.75" customHeight="1" x14ac:dyDescent="0.25">
      <c r="A30" s="207"/>
      <c r="B30" s="208"/>
      <c r="C30" s="208"/>
      <c r="D30" s="209"/>
      <c r="E30" s="79" t="s">
        <v>93</v>
      </c>
      <c r="F30" s="77">
        <f>G30+H30+I30+J30+K30+L30+M30</f>
        <v>60000</v>
      </c>
      <c r="G30" s="77">
        <v>40000</v>
      </c>
      <c r="H30" s="77">
        <v>20000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11"/>
    </row>
    <row r="31" spans="1:15" s="20" customFormat="1" ht="23.25" customHeight="1" x14ac:dyDescent="0.25">
      <c r="A31" s="185" t="s">
        <v>356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21"/>
    </row>
    <row r="32" spans="1:15" s="20" customFormat="1" ht="20.25" customHeight="1" x14ac:dyDescent="0.25">
      <c r="A32" s="200" t="s">
        <v>352</v>
      </c>
      <c r="B32" s="186" t="s">
        <v>369</v>
      </c>
      <c r="C32" s="186" t="s">
        <v>20</v>
      </c>
      <c r="D32" s="186" t="s">
        <v>20</v>
      </c>
      <c r="E32" s="79" t="s">
        <v>357</v>
      </c>
      <c r="F32" s="77">
        <f t="shared" ref="F32:F41" si="8">G32+H32+I32+J32+K32+L32+M32</f>
        <v>1288000</v>
      </c>
      <c r="G32" s="77">
        <f t="shared" ref="G32:M32" si="9">G33+G34</f>
        <v>210000</v>
      </c>
      <c r="H32" s="77">
        <f t="shared" si="9"/>
        <v>210000</v>
      </c>
      <c r="I32" s="77">
        <f t="shared" si="9"/>
        <v>173600</v>
      </c>
      <c r="J32" s="77">
        <f t="shared" si="9"/>
        <v>173600</v>
      </c>
      <c r="K32" s="77">
        <f t="shared" si="9"/>
        <v>173600</v>
      </c>
      <c r="L32" s="77">
        <f t="shared" si="9"/>
        <v>173600</v>
      </c>
      <c r="M32" s="77">
        <f t="shared" si="9"/>
        <v>173600</v>
      </c>
      <c r="N32" s="21"/>
    </row>
    <row r="33" spans="1:15" ht="42.75" x14ac:dyDescent="0.25">
      <c r="A33" s="200"/>
      <c r="B33" s="186"/>
      <c r="C33" s="186"/>
      <c r="D33" s="186"/>
      <c r="E33" s="79" t="s">
        <v>93</v>
      </c>
      <c r="F33" s="77">
        <f t="shared" si="8"/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11" t="s">
        <v>345</v>
      </c>
      <c r="O33" s="3" t="s">
        <v>308</v>
      </c>
    </row>
    <row r="34" spans="1:15" ht="19.5" customHeight="1" x14ac:dyDescent="0.25">
      <c r="A34" s="200"/>
      <c r="B34" s="186"/>
      <c r="C34" s="186"/>
      <c r="D34" s="186"/>
      <c r="E34" s="79" t="s">
        <v>21</v>
      </c>
      <c r="F34" s="77">
        <f t="shared" si="8"/>
        <v>1288000</v>
      </c>
      <c r="G34" s="77">
        <v>210000</v>
      </c>
      <c r="H34" s="77">
        <v>210000</v>
      </c>
      <c r="I34" s="77">
        <v>173600</v>
      </c>
      <c r="J34" s="77">
        <v>173600</v>
      </c>
      <c r="K34" s="77">
        <v>173600</v>
      </c>
      <c r="L34" s="77">
        <v>173600</v>
      </c>
      <c r="M34" s="77">
        <v>173600</v>
      </c>
      <c r="N34" s="76" t="s">
        <v>346</v>
      </c>
      <c r="O34" s="3" t="s">
        <v>317</v>
      </c>
    </row>
    <row r="35" spans="1:15" s="20" customFormat="1" ht="21.75" customHeight="1" x14ac:dyDescent="0.25">
      <c r="A35" s="200" t="s">
        <v>353</v>
      </c>
      <c r="B35" s="186" t="s">
        <v>370</v>
      </c>
      <c r="C35" s="186" t="s">
        <v>20</v>
      </c>
      <c r="D35" s="186" t="s">
        <v>20</v>
      </c>
      <c r="E35" s="79" t="s">
        <v>10</v>
      </c>
      <c r="F35" s="77">
        <f t="shared" si="8"/>
        <v>4780300</v>
      </c>
      <c r="G35" s="77">
        <f t="shared" ref="G35:M35" si="10">G36+G37</f>
        <v>1059900</v>
      </c>
      <c r="H35" s="77">
        <f t="shared" si="10"/>
        <v>1409900</v>
      </c>
      <c r="I35" s="77">
        <f t="shared" si="10"/>
        <v>462100</v>
      </c>
      <c r="J35" s="77">
        <f t="shared" si="10"/>
        <v>462100</v>
      </c>
      <c r="K35" s="77">
        <f t="shared" si="10"/>
        <v>462100</v>
      </c>
      <c r="L35" s="77">
        <f t="shared" si="10"/>
        <v>462100</v>
      </c>
      <c r="M35" s="77">
        <f t="shared" si="10"/>
        <v>462100</v>
      </c>
      <c r="N35" s="21" t="s">
        <v>349</v>
      </c>
    </row>
    <row r="36" spans="1:15" s="20" customFormat="1" ht="42.75" x14ac:dyDescent="0.25">
      <c r="A36" s="200"/>
      <c r="B36" s="186"/>
      <c r="C36" s="186"/>
      <c r="D36" s="186"/>
      <c r="E36" s="79" t="s">
        <v>93</v>
      </c>
      <c r="F36" s="77">
        <f t="shared" si="8"/>
        <v>350000</v>
      </c>
      <c r="G36" s="77">
        <v>0</v>
      </c>
      <c r="H36" s="77">
        <v>350000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21"/>
    </row>
    <row r="37" spans="1:15" s="20" customFormat="1" ht="21" customHeight="1" x14ac:dyDescent="0.25">
      <c r="A37" s="200"/>
      <c r="B37" s="186"/>
      <c r="C37" s="186"/>
      <c r="D37" s="186"/>
      <c r="E37" s="79" t="s">
        <v>21</v>
      </c>
      <c r="F37" s="77">
        <f t="shared" si="8"/>
        <v>4430300</v>
      </c>
      <c r="G37" s="77">
        <v>1059900</v>
      </c>
      <c r="H37" s="77">
        <v>1059900</v>
      </c>
      <c r="I37" s="77">
        <v>462100</v>
      </c>
      <c r="J37" s="77">
        <v>462100</v>
      </c>
      <c r="K37" s="77">
        <v>462100</v>
      </c>
      <c r="L37" s="77">
        <v>462100</v>
      </c>
      <c r="M37" s="77">
        <v>462100</v>
      </c>
      <c r="N37" s="21"/>
    </row>
    <row r="38" spans="1:15" s="20" customFormat="1" x14ac:dyDescent="0.25">
      <c r="A38" s="186" t="s">
        <v>354</v>
      </c>
      <c r="B38" s="186" t="s">
        <v>371</v>
      </c>
      <c r="C38" s="186" t="s">
        <v>20</v>
      </c>
      <c r="D38" s="186" t="s">
        <v>20</v>
      </c>
      <c r="E38" s="79" t="s">
        <v>10</v>
      </c>
      <c r="F38" s="77">
        <f t="shared" si="8"/>
        <v>1772000</v>
      </c>
      <c r="G38" s="77">
        <f t="shared" ref="G38:M38" si="11">G39+G40</f>
        <v>301000</v>
      </c>
      <c r="H38" s="77">
        <f t="shared" si="11"/>
        <v>301000</v>
      </c>
      <c r="I38" s="77">
        <f t="shared" si="11"/>
        <v>234000</v>
      </c>
      <c r="J38" s="77">
        <f t="shared" si="11"/>
        <v>234000</v>
      </c>
      <c r="K38" s="77">
        <f t="shared" si="11"/>
        <v>234000</v>
      </c>
      <c r="L38" s="77">
        <f t="shared" si="11"/>
        <v>234000</v>
      </c>
      <c r="M38" s="77">
        <f t="shared" si="11"/>
        <v>234000</v>
      </c>
      <c r="N38" s="21"/>
    </row>
    <row r="39" spans="1:15" s="20" customFormat="1" ht="42.75" x14ac:dyDescent="0.25">
      <c r="A39" s="186"/>
      <c r="B39" s="186"/>
      <c r="C39" s="186"/>
      <c r="D39" s="186"/>
      <c r="E39" s="79" t="s">
        <v>93</v>
      </c>
      <c r="F39" s="77">
        <f t="shared" si="8"/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21"/>
    </row>
    <row r="40" spans="1:15" s="20" customFormat="1" ht="37.5" customHeight="1" x14ac:dyDescent="0.25">
      <c r="A40" s="186"/>
      <c r="B40" s="186"/>
      <c r="C40" s="186"/>
      <c r="D40" s="186"/>
      <c r="E40" s="79" t="s">
        <v>21</v>
      </c>
      <c r="F40" s="77">
        <f t="shared" si="8"/>
        <v>1772000</v>
      </c>
      <c r="G40" s="77">
        <v>301000</v>
      </c>
      <c r="H40" s="77">
        <v>301000</v>
      </c>
      <c r="I40" s="77">
        <v>234000</v>
      </c>
      <c r="J40" s="77">
        <v>234000</v>
      </c>
      <c r="K40" s="77">
        <v>234000</v>
      </c>
      <c r="L40" s="77">
        <v>234000</v>
      </c>
      <c r="M40" s="77">
        <v>234000</v>
      </c>
      <c r="N40" s="21"/>
    </row>
    <row r="41" spans="1:15" s="20" customFormat="1" ht="24.75" customHeight="1" x14ac:dyDescent="0.25">
      <c r="A41" s="186" t="s">
        <v>258</v>
      </c>
      <c r="B41" s="186"/>
      <c r="C41" s="186"/>
      <c r="D41" s="186"/>
      <c r="E41" s="79" t="s">
        <v>265</v>
      </c>
      <c r="F41" s="77">
        <f t="shared" si="8"/>
        <v>7840300</v>
      </c>
      <c r="G41" s="77">
        <f>G42+G43</f>
        <v>1570900</v>
      </c>
      <c r="H41" s="77">
        <f>H42+H43</f>
        <v>1920900</v>
      </c>
      <c r="I41" s="77">
        <f>I42+I43</f>
        <v>869700</v>
      </c>
      <c r="J41" s="77">
        <f>J42+J43</f>
        <v>869700</v>
      </c>
      <c r="K41" s="77">
        <f>K42+K43</f>
        <v>869700</v>
      </c>
      <c r="L41" s="77">
        <f t="shared" ref="L41" si="12">SUM(L42:L43)</f>
        <v>869700</v>
      </c>
      <c r="M41" s="77">
        <f>M42+M43</f>
        <v>869700</v>
      </c>
      <c r="N41" s="21"/>
    </row>
    <row r="42" spans="1:15" ht="44.25" customHeight="1" x14ac:dyDescent="0.25">
      <c r="A42" s="186"/>
      <c r="B42" s="186"/>
      <c r="C42" s="186"/>
      <c r="D42" s="186"/>
      <c r="E42" s="79" t="s">
        <v>93</v>
      </c>
      <c r="F42" s="77">
        <f>G42+H42+I42+J42+L42+M42</f>
        <v>350000</v>
      </c>
      <c r="G42" s="77">
        <f t="shared" ref="G42:J43" si="13">G33+G36+G39</f>
        <v>0</v>
      </c>
      <c r="H42" s="77">
        <f t="shared" si="13"/>
        <v>350000</v>
      </c>
      <c r="I42" s="77">
        <f t="shared" si="13"/>
        <v>0</v>
      </c>
      <c r="J42" s="77">
        <f t="shared" si="13"/>
        <v>0</v>
      </c>
      <c r="K42" s="77">
        <v>0</v>
      </c>
      <c r="L42" s="77">
        <f>L33+L36+L39</f>
        <v>0</v>
      </c>
      <c r="M42" s="77">
        <f>M33+M36+M39</f>
        <v>0</v>
      </c>
      <c r="N42" s="11"/>
    </row>
    <row r="43" spans="1:15" ht="25.5" customHeight="1" x14ac:dyDescent="0.25">
      <c r="A43" s="186"/>
      <c r="B43" s="186"/>
      <c r="C43" s="186"/>
      <c r="D43" s="186"/>
      <c r="E43" s="79" t="s">
        <v>21</v>
      </c>
      <c r="F43" s="77">
        <f>G43+H43+I43+J43+K43+L43+M43</f>
        <v>7490300</v>
      </c>
      <c r="G43" s="77">
        <f>G34+G37+G40</f>
        <v>1570900</v>
      </c>
      <c r="H43" s="77">
        <f t="shared" si="13"/>
        <v>1570900</v>
      </c>
      <c r="I43" s="77">
        <f t="shared" si="13"/>
        <v>869700</v>
      </c>
      <c r="J43" s="77">
        <f t="shared" si="13"/>
        <v>869700</v>
      </c>
      <c r="K43" s="77">
        <f>K34+K37+K40</f>
        <v>869700</v>
      </c>
      <c r="L43" s="77">
        <f>L34+L37+L40</f>
        <v>869700</v>
      </c>
      <c r="M43" s="77">
        <f>M34+M37+M40</f>
        <v>869700</v>
      </c>
      <c r="N43" s="11" t="s">
        <v>347</v>
      </c>
    </row>
    <row r="44" spans="1:15" s="16" customFormat="1" ht="26.25" customHeight="1" x14ac:dyDescent="0.25">
      <c r="A44" s="185" t="s">
        <v>363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3"/>
    </row>
    <row r="45" spans="1:15" s="18" customFormat="1" ht="42.75" x14ac:dyDescent="0.25">
      <c r="A45" s="79" t="s">
        <v>352</v>
      </c>
      <c r="B45" s="79" t="s">
        <v>372</v>
      </c>
      <c r="C45" s="79" t="s">
        <v>20</v>
      </c>
      <c r="D45" s="79" t="s">
        <v>20</v>
      </c>
      <c r="E45" s="79" t="s">
        <v>21</v>
      </c>
      <c r="F45" s="77">
        <f>G45+I45+H45+J45+K45+M45</f>
        <v>132938209.2</v>
      </c>
      <c r="G45" s="77">
        <v>22917371</v>
      </c>
      <c r="H45" s="77">
        <v>22411638.199999999</v>
      </c>
      <c r="I45" s="77">
        <v>21902300</v>
      </c>
      <c r="J45" s="77">
        <v>21902300</v>
      </c>
      <c r="K45" s="77">
        <v>21902300</v>
      </c>
      <c r="L45" s="77">
        <v>21902300</v>
      </c>
      <c r="M45" s="77">
        <v>21902300</v>
      </c>
      <c r="N45" s="22"/>
    </row>
    <row r="46" spans="1:15" s="16" customFormat="1" ht="57" customHeight="1" x14ac:dyDescent="0.25">
      <c r="A46" s="179" t="s">
        <v>353</v>
      </c>
      <c r="B46" s="179" t="s">
        <v>373</v>
      </c>
      <c r="C46" s="179" t="s">
        <v>20</v>
      </c>
      <c r="D46" s="179" t="s">
        <v>20</v>
      </c>
      <c r="E46" s="79" t="s">
        <v>21</v>
      </c>
      <c r="F46" s="77">
        <f>G46+H46+I46+J46+K46+L46+M46</f>
        <v>668637620.68000007</v>
      </c>
      <c r="G46" s="77">
        <v>96725817</v>
      </c>
      <c r="H46" s="77">
        <v>98106838.679999992</v>
      </c>
      <c r="I46" s="77">
        <f>((30000)+83900)+94647093</f>
        <v>94760993</v>
      </c>
      <c r="J46" s="77">
        <f>I46</f>
        <v>94760993</v>
      </c>
      <c r="K46" s="77">
        <f>J46</f>
        <v>94760993</v>
      </c>
      <c r="L46" s="77">
        <f>K46</f>
        <v>94760993</v>
      </c>
      <c r="M46" s="77">
        <f>L46</f>
        <v>94760993</v>
      </c>
      <c r="N46" s="13"/>
    </row>
    <row r="47" spans="1:15" s="16" customFormat="1" ht="42.75" x14ac:dyDescent="0.25">
      <c r="A47" s="180"/>
      <c r="B47" s="180"/>
      <c r="C47" s="180"/>
      <c r="D47" s="180"/>
      <c r="E47" s="79" t="s">
        <v>93</v>
      </c>
      <c r="F47" s="77">
        <f>G47+H47+I47+J47+K47+L47+M47</f>
        <v>650000</v>
      </c>
      <c r="G47" s="77">
        <v>650000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13"/>
    </row>
    <row r="48" spans="1:15" s="16" customFormat="1" x14ac:dyDescent="0.25">
      <c r="A48" s="181"/>
      <c r="B48" s="181"/>
      <c r="C48" s="181"/>
      <c r="D48" s="181"/>
      <c r="E48" s="79" t="s">
        <v>89</v>
      </c>
      <c r="F48" s="77">
        <f>G48+H48+I48+J48+K48+L48+M48</f>
        <v>669287620.68000007</v>
      </c>
      <c r="G48" s="77">
        <f>G47+G46</f>
        <v>97375817</v>
      </c>
      <c r="H48" s="77">
        <f t="shared" ref="H48:M48" si="14">H46+H47</f>
        <v>98106838.679999992</v>
      </c>
      <c r="I48" s="77">
        <f t="shared" si="14"/>
        <v>94760993</v>
      </c>
      <c r="J48" s="77">
        <f t="shared" si="14"/>
        <v>94760993</v>
      </c>
      <c r="K48" s="77">
        <f t="shared" si="14"/>
        <v>94760993</v>
      </c>
      <c r="L48" s="77">
        <f t="shared" si="14"/>
        <v>94760993</v>
      </c>
      <c r="M48" s="77">
        <f t="shared" si="14"/>
        <v>94760993</v>
      </c>
      <c r="N48" s="13"/>
    </row>
    <row r="49" spans="1:15" s="16" customFormat="1" ht="15" customHeight="1" x14ac:dyDescent="0.25">
      <c r="A49" s="179" t="s">
        <v>354</v>
      </c>
      <c r="B49" s="179" t="s">
        <v>374</v>
      </c>
      <c r="C49" s="179" t="s">
        <v>391</v>
      </c>
      <c r="D49" s="179" t="s">
        <v>391</v>
      </c>
      <c r="E49" s="79" t="s">
        <v>89</v>
      </c>
      <c r="F49" s="77">
        <f>G49+H49+I49+J49+K49+L49+M49</f>
        <v>547261226.95000005</v>
      </c>
      <c r="G49" s="77">
        <f t="shared" ref="G49:M49" si="15">G50+G51</f>
        <v>43093013.759999998</v>
      </c>
      <c r="H49" s="77">
        <f t="shared" si="15"/>
        <v>93632557.189999998</v>
      </c>
      <c r="I49" s="77">
        <f t="shared" si="15"/>
        <v>88989656</v>
      </c>
      <c r="J49" s="77">
        <f t="shared" si="15"/>
        <v>80386500</v>
      </c>
      <c r="K49" s="77">
        <f t="shared" si="15"/>
        <v>80386500</v>
      </c>
      <c r="L49" s="77">
        <f t="shared" si="15"/>
        <v>80386500</v>
      </c>
      <c r="M49" s="77">
        <f t="shared" si="15"/>
        <v>80386500</v>
      </c>
      <c r="N49" s="13"/>
    </row>
    <row r="50" spans="1:15" s="16" customFormat="1" ht="101.25" customHeight="1" x14ac:dyDescent="0.25">
      <c r="A50" s="180"/>
      <c r="B50" s="180"/>
      <c r="C50" s="180"/>
      <c r="D50" s="180"/>
      <c r="E50" s="79" t="s">
        <v>93</v>
      </c>
      <c r="F50" s="77">
        <f>G50+H50+I50+J50+K50+L50+M50</f>
        <v>3598609.6</v>
      </c>
      <c r="G50" s="77">
        <v>3598609.6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13"/>
    </row>
    <row r="51" spans="1:15" s="20" customFormat="1" ht="27" customHeight="1" x14ac:dyDescent="0.25">
      <c r="A51" s="181"/>
      <c r="B51" s="181"/>
      <c r="C51" s="181"/>
      <c r="D51" s="181"/>
      <c r="E51" s="79" t="s">
        <v>21</v>
      </c>
      <c r="F51" s="77">
        <f>G51+H51+I51+K51+L51+M51</f>
        <v>463276117.35000002</v>
      </c>
      <c r="G51" s="77">
        <v>39494404.159999996</v>
      </c>
      <c r="H51" s="77">
        <v>93632557.189999998</v>
      </c>
      <c r="I51" s="77">
        <v>88989656</v>
      </c>
      <c r="J51" s="77">
        <v>80386500</v>
      </c>
      <c r="K51" s="77">
        <v>80386500</v>
      </c>
      <c r="L51" s="77">
        <v>80386500</v>
      </c>
      <c r="M51" s="77">
        <v>80386500</v>
      </c>
      <c r="N51" s="21"/>
    </row>
    <row r="52" spans="1:15" s="27" customFormat="1" ht="34.5" customHeight="1" x14ac:dyDescent="0.25">
      <c r="A52" s="186" t="s">
        <v>358</v>
      </c>
      <c r="B52" s="186" t="s">
        <v>375</v>
      </c>
      <c r="C52" s="186" t="s">
        <v>390</v>
      </c>
      <c r="D52" s="186" t="s">
        <v>390</v>
      </c>
      <c r="E52" s="79" t="s">
        <v>10</v>
      </c>
      <c r="F52" s="77">
        <f>G52+H52:H53+I52+J52+K52+L52+M52</f>
        <v>277831884.74000001</v>
      </c>
      <c r="G52" s="77">
        <f>G53+G54</f>
        <v>255609640.30000001</v>
      </c>
      <c r="H52" s="77">
        <f>H53+H54</f>
        <v>22222244.440000001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26"/>
    </row>
    <row r="53" spans="1:15" s="24" customFormat="1" ht="51" customHeight="1" x14ac:dyDescent="0.25">
      <c r="A53" s="186"/>
      <c r="B53" s="186"/>
      <c r="C53" s="186"/>
      <c r="D53" s="186"/>
      <c r="E53" s="79" t="s">
        <v>93</v>
      </c>
      <c r="F53" s="77">
        <f t="shared" ref="F53:F60" si="16">G53+H53+I53+J53+K53+L53+M53</f>
        <v>201298150</v>
      </c>
      <c r="G53" s="77">
        <v>201298150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28"/>
    </row>
    <row r="54" spans="1:15" s="24" customFormat="1" ht="36.75" customHeight="1" x14ac:dyDescent="0.25">
      <c r="A54" s="186"/>
      <c r="B54" s="186"/>
      <c r="C54" s="186"/>
      <c r="D54" s="186"/>
      <c r="E54" s="79" t="s">
        <v>21</v>
      </c>
      <c r="F54" s="77">
        <f t="shared" si="16"/>
        <v>106533734.73999999</v>
      </c>
      <c r="G54" s="77">
        <f>54311477.3+13</f>
        <v>54311490.299999997</v>
      </c>
      <c r="H54" s="77">
        <v>22222244.440000001</v>
      </c>
      <c r="I54" s="77">
        <v>30000000</v>
      </c>
      <c r="J54" s="77">
        <v>0</v>
      </c>
      <c r="K54" s="77">
        <v>0</v>
      </c>
      <c r="L54" s="77">
        <v>0</v>
      </c>
      <c r="M54" s="77">
        <v>0</v>
      </c>
      <c r="N54" s="28"/>
    </row>
    <row r="55" spans="1:15" s="20" customFormat="1" ht="21.75" customHeight="1" x14ac:dyDescent="0.25">
      <c r="A55" s="186" t="s">
        <v>343</v>
      </c>
      <c r="B55" s="186"/>
      <c r="C55" s="186"/>
      <c r="D55" s="186"/>
      <c r="E55" s="79" t="s">
        <v>89</v>
      </c>
      <c r="F55" s="77">
        <f t="shared" si="16"/>
        <v>1679221241.5699999</v>
      </c>
      <c r="G55" s="77">
        <f>G56+G57</f>
        <v>418995842.05999994</v>
      </c>
      <c r="H55" s="77">
        <f>H56+H57</f>
        <v>236373278.50999999</v>
      </c>
      <c r="I55" s="77">
        <f>I56+I57</f>
        <v>235652949</v>
      </c>
      <c r="J55" s="77">
        <f t="shared" ref="J55" si="17">SUM(J56:J57)</f>
        <v>197049793</v>
      </c>
      <c r="K55" s="77">
        <f>K56+K57</f>
        <v>197049793</v>
      </c>
      <c r="L55" s="77">
        <f>L56+L57</f>
        <v>197049793</v>
      </c>
      <c r="M55" s="77">
        <f>M56+M57</f>
        <v>197049793</v>
      </c>
      <c r="N55" s="21" t="s">
        <v>348</v>
      </c>
      <c r="O55" s="20" t="s">
        <v>311</v>
      </c>
    </row>
    <row r="56" spans="1:15" ht="21" customHeight="1" x14ac:dyDescent="0.25">
      <c r="A56" s="186"/>
      <c r="B56" s="186"/>
      <c r="C56" s="186"/>
      <c r="D56" s="186"/>
      <c r="E56" s="79" t="s">
        <v>63</v>
      </c>
      <c r="F56" s="77">
        <f t="shared" si="16"/>
        <v>205546759.59999999</v>
      </c>
      <c r="G56" s="77">
        <f>G47+G50+G53</f>
        <v>205546759.59999999</v>
      </c>
      <c r="H56" s="77">
        <f>H47+H50+H53</f>
        <v>0</v>
      </c>
      <c r="I56" s="77">
        <f>I53</f>
        <v>0</v>
      </c>
      <c r="J56" s="77">
        <f>J53</f>
        <v>0</v>
      </c>
      <c r="K56" s="77">
        <v>0</v>
      </c>
      <c r="L56" s="77">
        <f>L53</f>
        <v>0</v>
      </c>
      <c r="M56" s="77">
        <f>M53</f>
        <v>0</v>
      </c>
      <c r="N56" s="1"/>
    </row>
    <row r="57" spans="1:15" ht="21" customHeight="1" x14ac:dyDescent="0.25">
      <c r="A57" s="186"/>
      <c r="B57" s="186"/>
      <c r="C57" s="186"/>
      <c r="D57" s="186"/>
      <c r="E57" s="79" t="s">
        <v>21</v>
      </c>
      <c r="F57" s="77">
        <f t="shared" si="16"/>
        <v>1473674481.97</v>
      </c>
      <c r="G57" s="77">
        <f>G45+G46+G51+G54</f>
        <v>213449082.45999998</v>
      </c>
      <c r="H57" s="77">
        <f>H45+H46+H51+H54</f>
        <v>236373278.50999999</v>
      </c>
      <c r="I57" s="77">
        <f>I45+I46+I51+I54</f>
        <v>235652949</v>
      </c>
      <c r="J57" s="77">
        <f>J54+J51+J46+J45</f>
        <v>197049793</v>
      </c>
      <c r="K57" s="77">
        <f>K45+K46+K51+K54</f>
        <v>197049793</v>
      </c>
      <c r="L57" s="77">
        <f>L54+L51+L46+L45</f>
        <v>197049793</v>
      </c>
      <c r="M57" s="77">
        <f>M54+M51+M46+M45</f>
        <v>197049793</v>
      </c>
      <c r="N57" s="1"/>
    </row>
    <row r="58" spans="1:15" ht="21.75" customHeight="1" x14ac:dyDescent="0.25">
      <c r="A58" s="185" t="s">
        <v>259</v>
      </c>
      <c r="B58" s="185"/>
      <c r="C58" s="185"/>
      <c r="D58" s="185"/>
      <c r="E58" s="79" t="s">
        <v>10</v>
      </c>
      <c r="F58" s="77">
        <f t="shared" si="16"/>
        <v>22791922324.322998</v>
      </c>
      <c r="G58" s="77">
        <f>G59+G60</f>
        <v>3068125427.21</v>
      </c>
      <c r="H58" s="77">
        <f>H59+H60</f>
        <v>3158771354.1129999</v>
      </c>
      <c r="I58" s="77">
        <f t="shared" ref="I58:M58" si="18">I59+I60</f>
        <v>3275160871</v>
      </c>
      <c r="J58" s="77">
        <f t="shared" si="18"/>
        <v>3438545593</v>
      </c>
      <c r="K58" s="77">
        <f>K23+K28+K41+K55</f>
        <v>3283805693</v>
      </c>
      <c r="L58" s="77">
        <f t="shared" si="18"/>
        <v>3283756693</v>
      </c>
      <c r="M58" s="77">
        <f t="shared" si="18"/>
        <v>3283756693</v>
      </c>
      <c r="N58" s="1"/>
    </row>
    <row r="59" spans="1:15" ht="42.75" x14ac:dyDescent="0.25">
      <c r="A59" s="185"/>
      <c r="B59" s="185"/>
      <c r="C59" s="185"/>
      <c r="D59" s="185"/>
      <c r="E59" s="79" t="s">
        <v>93</v>
      </c>
      <c r="F59" s="77">
        <f t="shared" si="16"/>
        <v>16461933329.6</v>
      </c>
      <c r="G59" s="77">
        <f>G24+G42+G56+G30</f>
        <v>1859634729.5999999</v>
      </c>
      <c r="H59" s="77">
        <f>H24+H42+H56+H30</f>
        <v>2249640400</v>
      </c>
      <c r="I59" s="77">
        <f>I56+I42+I24</f>
        <v>2349501500</v>
      </c>
      <c r="J59" s="77">
        <f>J56+J42+J24</f>
        <v>2613324800</v>
      </c>
      <c r="K59" s="77">
        <f>K24+K42+K56</f>
        <v>2463277300</v>
      </c>
      <c r="L59" s="77">
        <f>L56+L42+L24</f>
        <v>2463277300</v>
      </c>
      <c r="M59" s="77">
        <f>M56+M42+M24</f>
        <v>2463277300</v>
      </c>
      <c r="N59" s="1"/>
    </row>
    <row r="60" spans="1:15" ht="23.25" customHeight="1" x14ac:dyDescent="0.25">
      <c r="A60" s="185"/>
      <c r="B60" s="185"/>
      <c r="C60" s="185"/>
      <c r="D60" s="185"/>
      <c r="E60" s="79" t="s">
        <v>21</v>
      </c>
      <c r="F60" s="77">
        <f t="shared" si="16"/>
        <v>6329988994.7229996</v>
      </c>
      <c r="G60" s="77">
        <f>G25+G29+G43+G57</f>
        <v>1208490697.6099999</v>
      </c>
      <c r="H60" s="77">
        <f>H25+H29+H43+H57</f>
        <v>909130954.11299992</v>
      </c>
      <c r="I60" s="77">
        <f>I57+I43+I29+I25</f>
        <v>925659371</v>
      </c>
      <c r="J60" s="77">
        <f>J57+J43+J29+J25</f>
        <v>825220793</v>
      </c>
      <c r="K60" s="77">
        <f>K25+K29+K43+K57</f>
        <v>820528393</v>
      </c>
      <c r="L60" s="77">
        <f>L57+L43+L29+L25</f>
        <v>820479393</v>
      </c>
      <c r="M60" s="77">
        <f>M57+M43+M29+M25</f>
        <v>820479393</v>
      </c>
      <c r="N60" s="1"/>
    </row>
    <row r="61" spans="1:15" ht="13.5" customHeight="1" x14ac:dyDescent="0.25">
      <c r="A61" s="185" t="s">
        <v>260</v>
      </c>
      <c r="B61" s="185"/>
      <c r="C61" s="185"/>
      <c r="D61" s="185"/>
      <c r="E61" s="79"/>
      <c r="F61" s="77"/>
      <c r="G61" s="77"/>
      <c r="H61" s="77"/>
      <c r="I61" s="77"/>
      <c r="J61" s="77"/>
      <c r="K61" s="77"/>
      <c r="L61" s="77"/>
      <c r="M61" s="77"/>
      <c r="N61" s="1"/>
    </row>
    <row r="62" spans="1:15" ht="16.5" customHeight="1" x14ac:dyDescent="0.25">
      <c r="A62" s="185" t="s">
        <v>20</v>
      </c>
      <c r="B62" s="185"/>
      <c r="C62" s="185"/>
      <c r="D62" s="185"/>
      <c r="E62" s="79" t="s">
        <v>89</v>
      </c>
      <c r="F62" s="77">
        <f>G62+H62+I62+J62+K62+L62+M62</f>
        <v>22044928243.973</v>
      </c>
      <c r="G62" s="77">
        <f t="shared" ref="G62:M62" si="19">G63+G64</f>
        <v>2825299560.0499997</v>
      </c>
      <c r="H62" s="77">
        <f t="shared" si="19"/>
        <v>3065138796.9229999</v>
      </c>
      <c r="I62" s="77">
        <f t="shared" si="19"/>
        <v>3186171215</v>
      </c>
      <c r="J62" s="77">
        <f t="shared" si="19"/>
        <v>3358159093</v>
      </c>
      <c r="K62" s="77">
        <f t="shared" si="19"/>
        <v>3203419193</v>
      </c>
      <c r="L62" s="77">
        <f t="shared" si="19"/>
        <v>3203370193</v>
      </c>
      <c r="M62" s="77">
        <f t="shared" si="19"/>
        <v>3203370193</v>
      </c>
      <c r="N62" s="1"/>
    </row>
    <row r="63" spans="1:15" ht="42.75" x14ac:dyDescent="0.25">
      <c r="A63" s="185"/>
      <c r="B63" s="185"/>
      <c r="C63" s="185"/>
      <c r="D63" s="185"/>
      <c r="E63" s="79" t="s">
        <v>93</v>
      </c>
      <c r="F63" s="77">
        <f>G63+H63+I63+J63+K63+L63++M63</f>
        <v>16260635179.6</v>
      </c>
      <c r="G63" s="77">
        <f>G59-G69</f>
        <v>1658336579.5999999</v>
      </c>
      <c r="H63" s="77">
        <f>H24+H42+H30+H56</f>
        <v>2249640400</v>
      </c>
      <c r="I63" s="77">
        <f>I24+I42+I53</f>
        <v>2349501500</v>
      </c>
      <c r="J63" s="77">
        <f>J24+J42+J53</f>
        <v>2613324800</v>
      </c>
      <c r="K63" s="77">
        <f>K24+K42+K53</f>
        <v>2463277300</v>
      </c>
      <c r="L63" s="77">
        <f>L24+L42+L53</f>
        <v>2463277300</v>
      </c>
      <c r="M63" s="77">
        <f>M24+M42+M56</f>
        <v>2463277300</v>
      </c>
      <c r="N63" s="1"/>
    </row>
    <row r="64" spans="1:15" ht="20.25" customHeight="1" x14ac:dyDescent="0.25">
      <c r="A64" s="185"/>
      <c r="B64" s="185"/>
      <c r="C64" s="185"/>
      <c r="D64" s="185"/>
      <c r="E64" s="79" t="s">
        <v>21</v>
      </c>
      <c r="F64" s="77">
        <f>G64+H64+I64+J64+K64+L64+M64</f>
        <v>5784293064.3729992</v>
      </c>
      <c r="G64" s="77">
        <f>G60-G66-G67-G70</f>
        <v>1166962980.4499998</v>
      </c>
      <c r="H64" s="77">
        <f>H25+H29+H43+H45+H54+H46</f>
        <v>815498396.92299998</v>
      </c>
      <c r="I64" s="77">
        <f>I25+I29+I43+I45+I46+I54</f>
        <v>836669715</v>
      </c>
      <c r="J64" s="77">
        <f>J25+J29+J43+J45+J46+J54</f>
        <v>744834293</v>
      </c>
      <c r="K64" s="77">
        <f>K25+K29+K43+K45+K46+K54</f>
        <v>740141893</v>
      </c>
      <c r="L64" s="77">
        <f>L25+L29+L43+L45+L46+L54</f>
        <v>740092893</v>
      </c>
      <c r="M64" s="77">
        <f>M25+M29+M43+M45+M46+M54</f>
        <v>740092893</v>
      </c>
      <c r="N64" s="1"/>
    </row>
    <row r="65" spans="1:14" ht="21" hidden="1" customHeight="1" x14ac:dyDescent="0.25">
      <c r="A65" s="185" t="s">
        <v>350</v>
      </c>
      <c r="B65" s="185"/>
      <c r="C65" s="185"/>
      <c r="D65" s="185"/>
      <c r="E65" s="79" t="s">
        <v>21</v>
      </c>
      <c r="F65" s="77" t="e">
        <f>SUM(H65:M65)</f>
        <v>#REF!</v>
      </c>
      <c r="G65" s="77"/>
      <c r="H65" s="77" t="e">
        <f>H16</f>
        <v>#REF!</v>
      </c>
      <c r="I65" s="77" t="e">
        <f>I16</f>
        <v>#REF!</v>
      </c>
      <c r="J65" s="77" t="e">
        <f>J16</f>
        <v>#REF!</v>
      </c>
      <c r="K65" s="77"/>
      <c r="L65" s="77" t="e">
        <f>L16</f>
        <v>#REF!</v>
      </c>
      <c r="M65" s="77" t="e">
        <f>M16</f>
        <v>#REF!</v>
      </c>
      <c r="N65" s="1"/>
    </row>
    <row r="66" spans="1:14" ht="21" customHeight="1" x14ac:dyDescent="0.25">
      <c r="A66" s="182" t="s">
        <v>362</v>
      </c>
      <c r="B66" s="183"/>
      <c r="C66" s="183"/>
      <c r="D66" s="184"/>
      <c r="E66" s="79" t="s">
        <v>21</v>
      </c>
      <c r="F66" s="77">
        <f>G66+H66+I66+J66+K66+L66+M66</f>
        <v>18873455</v>
      </c>
      <c r="G66" s="77">
        <v>7919965</v>
      </c>
      <c r="H66" s="77">
        <v>10953490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1"/>
    </row>
    <row r="67" spans="1:14" ht="23.25" customHeight="1" x14ac:dyDescent="0.25">
      <c r="A67" s="185" t="s">
        <v>171</v>
      </c>
      <c r="B67" s="185"/>
      <c r="C67" s="185"/>
      <c r="D67" s="185"/>
      <c r="E67" s="79" t="s">
        <v>21</v>
      </c>
      <c r="F67" s="77">
        <f>G67+H67+I67+J67+K67+L67+M67</f>
        <v>524789162.35000002</v>
      </c>
      <c r="G67" s="77">
        <v>31574439.16</v>
      </c>
      <c r="H67" s="77">
        <v>82679067.189999998</v>
      </c>
      <c r="I67" s="77">
        <f>I51</f>
        <v>88989656</v>
      </c>
      <c r="J67" s="77">
        <f>J51</f>
        <v>80386500</v>
      </c>
      <c r="K67" s="77">
        <f>K51</f>
        <v>80386500</v>
      </c>
      <c r="L67" s="77">
        <f>L51</f>
        <v>80386500</v>
      </c>
      <c r="M67" s="77">
        <f>M51</f>
        <v>80386500</v>
      </c>
      <c r="N67" s="1"/>
    </row>
    <row r="68" spans="1:14" ht="18" customHeight="1" x14ac:dyDescent="0.25">
      <c r="A68" s="193" t="s">
        <v>196</v>
      </c>
      <c r="B68" s="193"/>
      <c r="C68" s="193"/>
      <c r="D68" s="193"/>
      <c r="E68" s="79" t="s">
        <v>89</v>
      </c>
      <c r="F68" s="77">
        <f>G68+H68+I68+J68+K68+M68</f>
        <v>203331463</v>
      </c>
      <c r="G68" s="77">
        <f>G69+G70</f>
        <v>203331463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1"/>
    </row>
    <row r="69" spans="1:14" ht="42.75" x14ac:dyDescent="0.25">
      <c r="A69" s="193"/>
      <c r="B69" s="193"/>
      <c r="C69" s="193"/>
      <c r="D69" s="193"/>
      <c r="E69" s="81" t="s">
        <v>93</v>
      </c>
      <c r="F69" s="77">
        <f>G69+H69+I69+J69+K69+L69+M69</f>
        <v>201298150</v>
      </c>
      <c r="G69" s="77">
        <v>201298150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1"/>
    </row>
    <row r="70" spans="1:14" x14ac:dyDescent="0.25">
      <c r="A70" s="193"/>
      <c r="B70" s="193"/>
      <c r="C70" s="193"/>
      <c r="D70" s="193"/>
      <c r="E70" s="194" t="s">
        <v>21</v>
      </c>
      <c r="F70" s="192">
        <f>G70+H70+I70+J70+K70+L70+M70</f>
        <v>2033313</v>
      </c>
      <c r="G70" s="195">
        <v>2033313</v>
      </c>
      <c r="H70" s="192">
        <v>0</v>
      </c>
      <c r="I70" s="192">
        <v>0</v>
      </c>
      <c r="J70" s="192">
        <v>0</v>
      </c>
      <c r="K70" s="195">
        <v>0</v>
      </c>
      <c r="L70" s="192">
        <v>0</v>
      </c>
      <c r="M70" s="192">
        <v>0</v>
      </c>
      <c r="N70" s="1"/>
    </row>
    <row r="71" spans="1:14" x14ac:dyDescent="0.25">
      <c r="A71" s="193"/>
      <c r="B71" s="193"/>
      <c r="C71" s="193"/>
      <c r="D71" s="193"/>
      <c r="E71" s="194"/>
      <c r="F71" s="192"/>
      <c r="G71" s="198"/>
      <c r="H71" s="192"/>
      <c r="I71" s="192"/>
      <c r="J71" s="192"/>
      <c r="K71" s="196"/>
      <c r="L71" s="192"/>
      <c r="M71" s="192"/>
      <c r="N71" s="1"/>
    </row>
    <row r="72" spans="1:14" x14ac:dyDescent="0.25">
      <c r="A72" s="193"/>
      <c r="B72" s="193"/>
      <c r="C72" s="193"/>
      <c r="D72" s="193"/>
      <c r="E72" s="194"/>
      <c r="F72" s="192"/>
      <c r="G72" s="199"/>
      <c r="H72" s="192"/>
      <c r="I72" s="192"/>
      <c r="J72" s="192"/>
      <c r="K72" s="197"/>
      <c r="L72" s="192"/>
      <c r="M72" s="192"/>
      <c r="N72" s="1"/>
    </row>
    <row r="73" spans="1:14" x14ac:dyDescent="0.25">
      <c r="B73" s="5"/>
      <c r="C73" s="5"/>
      <c r="D73" s="5"/>
      <c r="E73" s="5"/>
      <c r="F73" s="6"/>
      <c r="G73" s="6"/>
      <c r="H73" s="6"/>
      <c r="I73" s="6"/>
      <c r="J73" s="6"/>
      <c r="K73" s="6"/>
      <c r="L73" s="6"/>
      <c r="M73" s="98" t="s">
        <v>306</v>
      </c>
      <c r="N73" s="1"/>
    </row>
    <row r="74" spans="1:14" x14ac:dyDescent="0.25">
      <c r="A74" s="5"/>
      <c r="B74" s="5"/>
      <c r="C74" s="5"/>
      <c r="D74" s="5"/>
      <c r="E74" s="5"/>
      <c r="F74" s="6"/>
      <c r="G74" s="6"/>
      <c r="H74" s="6"/>
      <c r="I74" s="6"/>
      <c r="J74" s="6"/>
      <c r="K74" s="6"/>
      <c r="L74" s="6"/>
      <c r="M74" s="6"/>
      <c r="N74" s="1"/>
    </row>
    <row r="75" spans="1:14" x14ac:dyDescent="0.25">
      <c r="A75" s="5"/>
      <c r="B75" s="5"/>
      <c r="C75" s="5"/>
      <c r="D75" s="5"/>
      <c r="E75" s="5"/>
      <c r="F75" s="6"/>
      <c r="G75" s="6"/>
      <c r="H75" s="6"/>
      <c r="I75" s="6"/>
      <c r="J75" s="6"/>
      <c r="K75" s="6"/>
      <c r="L75" s="6"/>
      <c r="M75" s="6"/>
      <c r="N75" s="1"/>
    </row>
    <row r="76" spans="1:14" x14ac:dyDescent="0.25">
      <c r="A76" s="5"/>
      <c r="B76" s="5"/>
      <c r="C76" s="5"/>
      <c r="D76" s="5"/>
      <c r="E76" s="5"/>
      <c r="F76" s="6"/>
      <c r="G76" s="6"/>
      <c r="H76" s="6"/>
      <c r="I76" s="6"/>
      <c r="J76" s="6"/>
      <c r="K76" s="6"/>
      <c r="L76" s="6"/>
      <c r="M76" s="6"/>
      <c r="N76" s="1"/>
    </row>
    <row r="77" spans="1:14" x14ac:dyDescent="0.25">
      <c r="A77" s="5"/>
      <c r="B77" s="5"/>
      <c r="C77" s="5"/>
      <c r="D77" s="5"/>
      <c r="E77" s="5"/>
      <c r="F77" s="6"/>
      <c r="G77" s="6"/>
      <c r="H77" s="6"/>
      <c r="I77" s="6"/>
      <c r="J77" s="6"/>
      <c r="K77" s="6"/>
      <c r="L77" s="6"/>
      <c r="M77" s="6"/>
      <c r="N77" s="1"/>
    </row>
    <row r="78" spans="1:14" x14ac:dyDescent="0.25">
      <c r="A78" s="5"/>
      <c r="B78" s="5"/>
      <c r="C78" s="5"/>
      <c r="D78" s="5"/>
      <c r="E78" s="5"/>
      <c r="F78" s="6"/>
      <c r="G78" s="6"/>
      <c r="H78" s="6"/>
      <c r="I78" s="6"/>
      <c r="J78" s="6"/>
      <c r="K78" s="6"/>
      <c r="L78" s="6"/>
      <c r="M78" s="6"/>
      <c r="N78" s="1"/>
    </row>
    <row r="79" spans="1:14" x14ac:dyDescent="0.25">
      <c r="A79" s="5"/>
      <c r="B79" s="5"/>
      <c r="C79" s="5"/>
      <c r="D79" s="5"/>
      <c r="E79" s="5"/>
      <c r="F79" s="6"/>
      <c r="G79" s="6"/>
      <c r="H79" s="6"/>
      <c r="I79" s="6"/>
      <c r="J79" s="6"/>
      <c r="K79" s="6"/>
      <c r="L79" s="6"/>
      <c r="M79" s="6"/>
      <c r="N79" s="1"/>
    </row>
    <row r="80" spans="1:14" x14ac:dyDescent="0.25">
      <c r="A80" s="5"/>
      <c r="B80" s="5"/>
      <c r="C80" s="5"/>
      <c r="D80" s="5"/>
      <c r="E80" s="5"/>
      <c r="F80" s="6"/>
      <c r="G80" s="6"/>
      <c r="H80" s="6"/>
      <c r="I80" s="6"/>
      <c r="J80" s="6"/>
      <c r="K80" s="6"/>
      <c r="L80" s="6"/>
      <c r="M80" s="6"/>
      <c r="N80" s="1"/>
    </row>
    <row r="81" spans="1:14" x14ac:dyDescent="0.25">
      <c r="A81" s="5"/>
      <c r="B81" s="5"/>
      <c r="C81" s="5"/>
      <c r="D81" s="5"/>
      <c r="E81" s="5"/>
      <c r="F81" s="6"/>
      <c r="G81" s="6"/>
      <c r="H81" s="6"/>
      <c r="I81" s="6"/>
      <c r="J81" s="6"/>
      <c r="K81" s="6"/>
      <c r="L81" s="6"/>
      <c r="M81" s="6"/>
      <c r="N81" s="1"/>
    </row>
    <row r="82" spans="1:14" x14ac:dyDescent="0.25">
      <c r="A82" s="5"/>
      <c r="B82" s="5"/>
      <c r="C82" s="5"/>
      <c r="D82" s="5"/>
      <c r="E82" s="5"/>
      <c r="F82" s="6"/>
      <c r="G82" s="6"/>
      <c r="H82" s="6"/>
      <c r="I82" s="6"/>
      <c r="J82" s="6"/>
      <c r="K82" s="6"/>
      <c r="L82" s="6"/>
      <c r="M82" s="6"/>
      <c r="N82" s="1"/>
    </row>
    <row r="83" spans="1:14" x14ac:dyDescent="0.25">
      <c r="A83" s="5"/>
      <c r="B83" s="5"/>
      <c r="C83" s="5"/>
      <c r="D83" s="5"/>
      <c r="E83" s="5"/>
      <c r="F83" s="6"/>
      <c r="G83" s="6"/>
      <c r="H83" s="6"/>
      <c r="I83" s="6"/>
      <c r="J83" s="6"/>
      <c r="K83" s="6"/>
      <c r="L83" s="6"/>
      <c r="M83" s="6"/>
      <c r="N83" s="1"/>
    </row>
    <row r="84" spans="1:14" x14ac:dyDescent="0.25">
      <c r="A84" s="5"/>
      <c r="B84" s="5"/>
      <c r="C84" s="5"/>
      <c r="D84" s="5"/>
      <c r="E84" s="5"/>
      <c r="F84" s="6"/>
      <c r="G84" s="6"/>
      <c r="H84" s="6"/>
      <c r="I84" s="6"/>
      <c r="J84" s="6"/>
      <c r="K84" s="6"/>
      <c r="L84" s="6"/>
      <c r="M84" s="6"/>
      <c r="N84" s="1"/>
    </row>
    <row r="85" spans="1:14" x14ac:dyDescent="0.25">
      <c r="A85" s="5"/>
      <c r="B85" s="5"/>
      <c r="C85" s="5"/>
      <c r="D85" s="5"/>
      <c r="E85" s="5"/>
      <c r="F85" s="6"/>
      <c r="G85" s="6"/>
      <c r="H85" s="6"/>
      <c r="I85" s="6"/>
      <c r="J85" s="6"/>
      <c r="K85" s="6"/>
      <c r="L85" s="6"/>
      <c r="M85" s="6"/>
      <c r="N85" s="1"/>
    </row>
    <row r="86" spans="1:14" x14ac:dyDescent="0.25">
      <c r="A86" s="5"/>
      <c r="B86" s="5"/>
      <c r="C86" s="5"/>
      <c r="D86" s="5"/>
      <c r="E86" s="5"/>
      <c r="F86" s="6"/>
      <c r="G86" s="6"/>
      <c r="H86" s="6"/>
      <c r="I86" s="6"/>
      <c r="J86" s="6"/>
      <c r="K86" s="6"/>
      <c r="L86" s="6"/>
      <c r="M86" s="6"/>
      <c r="N86" s="1"/>
    </row>
    <row r="87" spans="1:14" x14ac:dyDescent="0.25">
      <c r="A87" s="5"/>
      <c r="B87" s="5"/>
      <c r="C87" s="5"/>
      <c r="D87" s="5"/>
      <c r="E87" s="5"/>
      <c r="F87" s="6"/>
      <c r="G87" s="6"/>
      <c r="H87" s="6"/>
      <c r="I87" s="6"/>
      <c r="J87" s="6"/>
      <c r="K87" s="6"/>
      <c r="L87" s="6"/>
      <c r="M87" s="6"/>
      <c r="N87" s="1"/>
    </row>
    <row r="88" spans="1:14" x14ac:dyDescent="0.25">
      <c r="A88" s="5"/>
      <c r="B88" s="5"/>
      <c r="C88" s="5"/>
      <c r="D88" s="5"/>
      <c r="E88" s="5"/>
      <c r="F88" s="6"/>
      <c r="G88" s="6"/>
      <c r="H88" s="6"/>
      <c r="I88" s="6"/>
      <c r="J88" s="6"/>
      <c r="K88" s="6"/>
      <c r="L88" s="6"/>
      <c r="M88" s="6"/>
      <c r="N88" s="1"/>
    </row>
    <row r="89" spans="1:14" x14ac:dyDescent="0.25">
      <c r="A89" s="5"/>
      <c r="B89" s="5"/>
      <c r="C89" s="5"/>
      <c r="D89" s="5"/>
      <c r="E89" s="5"/>
      <c r="F89" s="6"/>
      <c r="G89" s="6"/>
      <c r="H89" s="6"/>
      <c r="I89" s="6"/>
      <c r="J89" s="6"/>
      <c r="K89" s="6"/>
      <c r="L89" s="6"/>
      <c r="M89" s="6"/>
      <c r="N89" s="1"/>
    </row>
    <row r="90" spans="1:14" x14ac:dyDescent="0.25">
      <c r="A90" s="5"/>
      <c r="B90" s="5"/>
      <c r="C90" s="5"/>
      <c r="D90" s="5"/>
      <c r="E90" s="5"/>
      <c r="F90" s="6"/>
      <c r="G90" s="6"/>
      <c r="H90" s="6"/>
      <c r="I90" s="6"/>
      <c r="J90" s="6"/>
      <c r="K90" s="6"/>
      <c r="L90" s="6"/>
      <c r="M90" s="6"/>
      <c r="N90" s="1"/>
    </row>
    <row r="91" spans="1:14" x14ac:dyDescent="0.25">
      <c r="A91" s="5"/>
      <c r="B91" s="5"/>
      <c r="C91" s="5"/>
      <c r="D91" s="5"/>
      <c r="E91" s="5"/>
      <c r="F91" s="6"/>
      <c r="G91" s="6"/>
      <c r="H91" s="6"/>
      <c r="I91" s="6"/>
      <c r="J91" s="6"/>
      <c r="K91" s="6"/>
      <c r="L91" s="6"/>
      <c r="M91" s="6"/>
      <c r="N91" s="1"/>
    </row>
    <row r="92" spans="1:14" x14ac:dyDescent="0.25">
      <c r="A92" s="5"/>
      <c r="B92" s="5"/>
      <c r="C92" s="5"/>
      <c r="D92" s="5"/>
      <c r="E92" s="5"/>
      <c r="F92" s="6"/>
      <c r="G92" s="6"/>
      <c r="H92" s="6"/>
      <c r="I92" s="6"/>
      <c r="J92" s="6"/>
      <c r="K92" s="6"/>
      <c r="L92" s="6"/>
      <c r="M92" s="6"/>
      <c r="N92" s="1"/>
    </row>
    <row r="93" spans="1:14" x14ac:dyDescent="0.25">
      <c r="A93" s="5"/>
      <c r="B93" s="5"/>
      <c r="C93" s="5"/>
      <c r="D93" s="5"/>
      <c r="E93" s="5"/>
      <c r="F93" s="6"/>
      <c r="G93" s="6"/>
      <c r="H93" s="6"/>
      <c r="I93" s="6"/>
      <c r="J93" s="6"/>
      <c r="K93" s="6"/>
      <c r="L93" s="6"/>
      <c r="M93" s="6"/>
      <c r="N93" s="1"/>
    </row>
    <row r="94" spans="1:14" x14ac:dyDescent="0.25">
      <c r="A94" s="5"/>
      <c r="B94" s="5"/>
      <c r="C94" s="5"/>
      <c r="D94" s="5"/>
      <c r="E94" s="5"/>
      <c r="F94" s="6"/>
      <c r="G94" s="6"/>
      <c r="H94" s="6"/>
      <c r="I94" s="6"/>
      <c r="J94" s="6"/>
      <c r="K94" s="6"/>
      <c r="L94" s="6"/>
      <c r="M94" s="6"/>
      <c r="N94" s="1"/>
    </row>
    <row r="95" spans="1:14" x14ac:dyDescent="0.25">
      <c r="A95" s="5"/>
      <c r="B95" s="6"/>
      <c r="C95" s="5"/>
      <c r="D95" s="6"/>
      <c r="E95" s="5"/>
      <c r="F95" s="6"/>
      <c r="G95" s="6"/>
      <c r="H95" s="6"/>
      <c r="I95" s="6"/>
      <c r="J95" s="6"/>
      <c r="K95" s="6"/>
      <c r="L95" s="6"/>
      <c r="M95" s="6"/>
      <c r="N95" s="1"/>
    </row>
    <row r="96" spans="1:14" x14ac:dyDescent="0.25">
      <c r="A96" s="5"/>
      <c r="B96" s="5"/>
      <c r="C96" s="5"/>
      <c r="D96" s="5"/>
      <c r="E96" s="5"/>
      <c r="F96" s="6"/>
      <c r="G96" s="6"/>
      <c r="H96" s="6"/>
      <c r="I96" s="6"/>
      <c r="J96" s="6"/>
      <c r="K96" s="6"/>
      <c r="L96" s="6"/>
      <c r="M96" s="6"/>
      <c r="N96" s="1"/>
    </row>
    <row r="97" spans="1:14" x14ac:dyDescent="0.25">
      <c r="A97" s="5"/>
      <c r="B97" s="6"/>
      <c r="C97" s="5"/>
      <c r="D97" s="6"/>
      <c r="E97" s="5"/>
      <c r="F97" s="6"/>
      <c r="G97" s="6"/>
      <c r="H97" s="6"/>
      <c r="I97" s="6"/>
      <c r="J97" s="6"/>
      <c r="K97" s="6"/>
      <c r="L97" s="6"/>
      <c r="M97" s="6"/>
      <c r="N97" s="1"/>
    </row>
    <row r="98" spans="1:14" x14ac:dyDescent="0.25">
      <c r="A98" s="5"/>
      <c r="B98" s="5"/>
      <c r="C98" s="5"/>
      <c r="D98" s="5"/>
      <c r="E98" s="5"/>
      <c r="F98" s="6"/>
      <c r="G98" s="6"/>
      <c r="H98" s="6"/>
      <c r="I98" s="6"/>
      <c r="J98" s="6"/>
      <c r="K98" s="6"/>
      <c r="L98" s="6"/>
      <c r="M98" s="6"/>
      <c r="N98" s="1"/>
    </row>
    <row r="99" spans="1:14" x14ac:dyDescent="0.25">
      <c r="A99" s="5"/>
      <c r="B99" s="5"/>
      <c r="C99" s="5"/>
      <c r="D99" s="5"/>
      <c r="E99" s="5"/>
      <c r="F99" s="6"/>
      <c r="G99" s="6"/>
      <c r="H99" s="6"/>
      <c r="I99" s="6"/>
      <c r="J99" s="6"/>
      <c r="K99" s="6"/>
      <c r="L99" s="6"/>
      <c r="M99" s="6"/>
      <c r="N99" s="1"/>
    </row>
    <row r="100" spans="1:14" x14ac:dyDescent="0.25">
      <c r="A100" s="5"/>
      <c r="B100" s="5"/>
      <c r="C100" s="5"/>
      <c r="D100" s="5"/>
      <c r="E100" s="5"/>
      <c r="F100" s="6"/>
      <c r="G100" s="6"/>
      <c r="H100" s="6"/>
      <c r="I100" s="6"/>
      <c r="J100" s="6"/>
      <c r="K100" s="6"/>
      <c r="L100" s="6"/>
      <c r="M100" s="6"/>
      <c r="N100" s="1"/>
    </row>
    <row r="101" spans="1:14" x14ac:dyDescent="0.25">
      <c r="A101" s="5"/>
      <c r="B101" s="5"/>
      <c r="C101" s="5"/>
      <c r="D101" s="5"/>
      <c r="E101" s="5"/>
      <c r="F101" s="6"/>
      <c r="G101" s="6"/>
      <c r="H101" s="6"/>
      <c r="I101" s="6"/>
      <c r="J101" s="6"/>
      <c r="K101" s="6"/>
      <c r="L101" s="6"/>
      <c r="M101" s="6"/>
      <c r="N101" s="1"/>
    </row>
    <row r="102" spans="1:14" x14ac:dyDescent="0.25">
      <c r="A102" s="5"/>
      <c r="B102" s="5"/>
      <c r="C102" s="5"/>
      <c r="D102" s="5"/>
      <c r="E102" s="5"/>
      <c r="F102" s="6"/>
      <c r="G102" s="6"/>
      <c r="H102" s="6"/>
      <c r="I102" s="6"/>
      <c r="J102" s="6"/>
      <c r="K102" s="6"/>
      <c r="L102" s="6"/>
      <c r="M102" s="6"/>
    </row>
    <row r="103" spans="1:14" x14ac:dyDescent="0.25">
      <c r="A103" s="5"/>
      <c r="B103" s="5"/>
      <c r="C103" s="5"/>
      <c r="D103" s="5"/>
      <c r="E103" s="5"/>
      <c r="F103" s="6"/>
      <c r="G103" s="6"/>
      <c r="H103" s="6"/>
      <c r="I103" s="6"/>
      <c r="J103" s="6"/>
      <c r="K103" s="6"/>
      <c r="L103" s="6"/>
      <c r="M103" s="6"/>
    </row>
    <row r="104" spans="1:14" x14ac:dyDescent="0.25">
      <c r="A104" s="5"/>
      <c r="B104" s="5"/>
      <c r="C104" s="5"/>
      <c r="D104" s="5"/>
      <c r="E104" s="5"/>
      <c r="F104" s="6"/>
      <c r="G104" s="6"/>
      <c r="H104" s="6"/>
      <c r="I104" s="6"/>
      <c r="J104" s="6"/>
      <c r="K104" s="6"/>
      <c r="L104" s="6"/>
      <c r="M104" s="6"/>
    </row>
    <row r="105" spans="1:14" x14ac:dyDescent="0.25">
      <c r="A105" s="5"/>
      <c r="B105" s="5"/>
      <c r="C105" s="5"/>
      <c r="D105" s="5"/>
      <c r="E105" s="5"/>
      <c r="F105" s="6"/>
      <c r="G105" s="6"/>
      <c r="H105" s="6"/>
      <c r="I105" s="6"/>
      <c r="J105" s="6"/>
      <c r="K105" s="6"/>
      <c r="L105" s="6"/>
      <c r="M105" s="6"/>
    </row>
    <row r="106" spans="1:14" x14ac:dyDescent="0.25">
      <c r="A106" s="5"/>
      <c r="B106" s="5"/>
      <c r="C106" s="5"/>
      <c r="D106" s="5"/>
      <c r="E106" s="5"/>
      <c r="F106" s="6"/>
      <c r="G106" s="6"/>
      <c r="H106" s="6"/>
      <c r="I106" s="6"/>
      <c r="J106" s="6"/>
      <c r="K106" s="6"/>
      <c r="L106" s="6"/>
      <c r="M106" s="6"/>
    </row>
    <row r="107" spans="1:14" x14ac:dyDescent="0.25">
      <c r="A107" s="5"/>
      <c r="B107" s="5"/>
      <c r="C107" s="5"/>
      <c r="D107" s="5"/>
      <c r="E107" s="5"/>
      <c r="F107" s="6"/>
      <c r="G107" s="6"/>
      <c r="H107" s="6"/>
      <c r="I107" s="6"/>
      <c r="J107" s="6"/>
      <c r="K107" s="6"/>
      <c r="L107" s="6"/>
      <c r="M107" s="6"/>
    </row>
    <row r="108" spans="1:14" x14ac:dyDescent="0.25">
      <c r="A108" s="5"/>
      <c r="B108" s="5"/>
      <c r="C108" s="5"/>
      <c r="D108" s="5"/>
      <c r="E108" s="5"/>
      <c r="F108" s="6"/>
      <c r="G108" s="6"/>
      <c r="H108" s="6"/>
      <c r="I108" s="6"/>
      <c r="J108" s="6"/>
      <c r="K108" s="6"/>
      <c r="L108" s="6"/>
      <c r="M108" s="6"/>
    </row>
    <row r="109" spans="1:14" x14ac:dyDescent="0.25">
      <c r="A109" s="5"/>
      <c r="B109" s="5"/>
      <c r="C109" s="5"/>
      <c r="D109" s="5"/>
      <c r="E109" s="5"/>
      <c r="F109" s="6"/>
      <c r="G109" s="6"/>
      <c r="H109" s="6"/>
      <c r="I109" s="6"/>
      <c r="J109" s="6"/>
      <c r="K109" s="6"/>
      <c r="L109" s="6"/>
      <c r="M109" s="6"/>
    </row>
    <row r="110" spans="1:14" x14ac:dyDescent="0.25">
      <c r="A110" s="5"/>
      <c r="B110" s="5"/>
      <c r="C110" s="5"/>
      <c r="D110" s="5"/>
      <c r="E110" s="5"/>
      <c r="F110" s="6"/>
      <c r="G110" s="6"/>
      <c r="H110" s="6"/>
      <c r="I110" s="6"/>
      <c r="J110" s="6"/>
      <c r="K110" s="6"/>
      <c r="L110" s="6"/>
      <c r="M110" s="6"/>
    </row>
    <row r="111" spans="1:14" x14ac:dyDescent="0.25">
      <c r="A111" s="5"/>
      <c r="B111" s="5"/>
      <c r="C111" s="5"/>
      <c r="D111" s="5"/>
      <c r="E111" s="5"/>
      <c r="F111" s="6"/>
      <c r="G111" s="6"/>
      <c r="H111" s="6"/>
      <c r="I111" s="6"/>
      <c r="J111" s="6"/>
      <c r="K111" s="6"/>
      <c r="L111" s="6"/>
      <c r="M111" s="6"/>
    </row>
    <row r="112" spans="1:14" x14ac:dyDescent="0.25">
      <c r="A112" s="5"/>
      <c r="B112" s="5"/>
      <c r="C112" s="5"/>
      <c r="D112" s="5"/>
      <c r="E112" s="5"/>
      <c r="F112" s="6"/>
      <c r="G112" s="6"/>
      <c r="H112" s="6"/>
      <c r="I112" s="6"/>
      <c r="J112" s="6"/>
      <c r="K112" s="6"/>
      <c r="L112" s="6"/>
      <c r="M112" s="6"/>
    </row>
    <row r="113" spans="1:13" x14ac:dyDescent="0.25">
      <c r="A113" s="5"/>
      <c r="B113" s="5"/>
      <c r="C113" s="5"/>
      <c r="D113" s="5"/>
      <c r="E113" s="5"/>
      <c r="F113" s="6"/>
      <c r="G113" s="6"/>
      <c r="H113" s="6"/>
      <c r="I113" s="6"/>
      <c r="J113" s="6"/>
      <c r="K113" s="6"/>
      <c r="L113" s="6"/>
      <c r="M113" s="6"/>
    </row>
    <row r="114" spans="1:13" x14ac:dyDescent="0.25">
      <c r="A114" s="5"/>
      <c r="B114" s="5"/>
      <c r="C114" s="5"/>
      <c r="D114" s="5"/>
      <c r="E114" s="5"/>
      <c r="F114" s="6"/>
      <c r="G114" s="6"/>
      <c r="H114" s="6"/>
      <c r="I114" s="6"/>
      <c r="J114" s="6"/>
      <c r="K114" s="6"/>
      <c r="L114" s="6"/>
      <c r="M114" s="6"/>
    </row>
    <row r="115" spans="1:13" x14ac:dyDescent="0.25">
      <c r="A115" s="5"/>
      <c r="B115" s="5"/>
      <c r="C115" s="5"/>
      <c r="D115" s="5"/>
      <c r="E115" s="5"/>
      <c r="F115" s="6"/>
      <c r="G115" s="6"/>
      <c r="H115" s="6"/>
      <c r="I115" s="6"/>
      <c r="J115" s="6"/>
      <c r="K115" s="6"/>
      <c r="L115" s="6"/>
      <c r="M115" s="6"/>
    </row>
    <row r="116" spans="1:13" x14ac:dyDescent="0.25">
      <c r="A116" s="5"/>
      <c r="B116" s="5"/>
      <c r="C116" s="5"/>
      <c r="D116" s="5"/>
      <c r="E116" s="5"/>
      <c r="F116" s="6"/>
      <c r="G116" s="6"/>
      <c r="H116" s="6"/>
      <c r="I116" s="6"/>
      <c r="J116" s="6"/>
      <c r="K116" s="6"/>
      <c r="L116" s="6"/>
      <c r="M116" s="6"/>
    </row>
    <row r="117" spans="1:13" x14ac:dyDescent="0.25">
      <c r="A117" s="5"/>
      <c r="B117" s="5"/>
      <c r="C117" s="5"/>
      <c r="D117" s="5"/>
      <c r="E117" s="5"/>
      <c r="F117" s="6"/>
      <c r="G117" s="6"/>
      <c r="H117" s="6"/>
      <c r="I117" s="6"/>
      <c r="J117" s="6"/>
      <c r="K117" s="6"/>
      <c r="L117" s="6"/>
      <c r="M117" s="6"/>
    </row>
    <row r="118" spans="1:13" x14ac:dyDescent="0.25">
      <c r="A118" s="5"/>
      <c r="B118" s="5"/>
      <c r="C118" s="5"/>
      <c r="D118" s="5"/>
      <c r="E118" s="5"/>
      <c r="F118" s="6"/>
      <c r="G118" s="6"/>
      <c r="H118" s="6"/>
      <c r="I118" s="6"/>
      <c r="J118" s="6"/>
      <c r="K118" s="6"/>
      <c r="L118" s="6"/>
      <c r="M118" s="6"/>
    </row>
    <row r="119" spans="1:13" x14ac:dyDescent="0.25">
      <c r="A119" s="5"/>
      <c r="B119" s="5"/>
      <c r="C119" s="5"/>
      <c r="D119" s="5"/>
      <c r="E119" s="5"/>
      <c r="F119" s="6"/>
      <c r="G119" s="6"/>
      <c r="H119" s="6"/>
      <c r="I119" s="6"/>
      <c r="J119" s="6"/>
      <c r="K119" s="6"/>
      <c r="L119" s="6"/>
      <c r="M119" s="6"/>
    </row>
    <row r="120" spans="1:13" x14ac:dyDescent="0.25">
      <c r="A120" s="5"/>
      <c r="B120" s="5"/>
      <c r="C120" s="5"/>
      <c r="D120" s="5"/>
      <c r="E120" s="5"/>
      <c r="F120" s="6"/>
      <c r="G120" s="6"/>
      <c r="H120" s="6"/>
      <c r="I120" s="6"/>
      <c r="J120" s="6"/>
      <c r="K120" s="6"/>
      <c r="L120" s="6"/>
      <c r="M120" s="6"/>
    </row>
    <row r="121" spans="1:13" x14ac:dyDescent="0.25">
      <c r="A121" s="5"/>
      <c r="B121" s="5"/>
      <c r="C121" s="5"/>
      <c r="D121" s="5"/>
      <c r="E121" s="5"/>
      <c r="F121" s="6"/>
      <c r="G121" s="6"/>
      <c r="H121" s="6"/>
      <c r="I121" s="6"/>
      <c r="J121" s="6"/>
      <c r="K121" s="6"/>
      <c r="L121" s="6"/>
      <c r="M121" s="6"/>
    </row>
    <row r="122" spans="1:13" x14ac:dyDescent="0.25">
      <c r="A122" s="5"/>
      <c r="B122" s="5"/>
      <c r="C122" s="5"/>
      <c r="D122" s="5"/>
      <c r="E122" s="5"/>
      <c r="F122" s="6"/>
      <c r="G122" s="6"/>
      <c r="H122" s="6"/>
      <c r="I122" s="6"/>
      <c r="J122" s="6"/>
      <c r="K122" s="6"/>
      <c r="L122" s="6"/>
      <c r="M122" s="6"/>
    </row>
    <row r="123" spans="1:13" x14ac:dyDescent="0.25">
      <c r="A123" s="5"/>
      <c r="B123" s="5"/>
      <c r="C123" s="5"/>
      <c r="D123" s="5"/>
      <c r="E123" s="5"/>
      <c r="F123" s="6"/>
      <c r="G123" s="6"/>
      <c r="H123" s="6"/>
      <c r="I123" s="6"/>
      <c r="J123" s="6"/>
      <c r="K123" s="6"/>
      <c r="L123" s="6"/>
      <c r="M123" s="6"/>
    </row>
    <row r="124" spans="1:13" x14ac:dyDescent="0.25">
      <c r="A124" s="5"/>
      <c r="B124" s="5"/>
      <c r="C124" s="5"/>
      <c r="D124" s="5"/>
      <c r="E124" s="5"/>
      <c r="F124" s="6"/>
      <c r="G124" s="6"/>
      <c r="H124" s="6"/>
      <c r="I124" s="6"/>
      <c r="J124" s="6"/>
      <c r="K124" s="6"/>
      <c r="L124" s="6"/>
      <c r="M124" s="6"/>
    </row>
    <row r="125" spans="1:13" x14ac:dyDescent="0.25">
      <c r="A125" s="5"/>
      <c r="B125" s="5"/>
      <c r="C125" s="5"/>
      <c r="D125" s="5"/>
      <c r="E125" s="5"/>
      <c r="F125" s="6"/>
      <c r="G125" s="6"/>
      <c r="H125" s="6"/>
      <c r="I125" s="6"/>
      <c r="J125" s="6"/>
      <c r="K125" s="6"/>
      <c r="L125" s="6"/>
      <c r="M125" s="6"/>
    </row>
    <row r="126" spans="1:13" x14ac:dyDescent="0.25">
      <c r="A126" s="5"/>
      <c r="B126" s="5"/>
      <c r="C126" s="5"/>
      <c r="D126" s="5"/>
      <c r="E126" s="5"/>
      <c r="F126" s="6"/>
      <c r="G126" s="6"/>
      <c r="H126" s="6"/>
      <c r="I126" s="6"/>
      <c r="J126" s="6"/>
      <c r="K126" s="6"/>
      <c r="L126" s="6"/>
      <c r="M126" s="6"/>
    </row>
    <row r="127" spans="1:13" x14ac:dyDescent="0.25">
      <c r="A127" s="5"/>
      <c r="B127" s="5"/>
      <c r="C127" s="5"/>
      <c r="D127" s="5"/>
      <c r="E127" s="5"/>
      <c r="F127" s="6"/>
      <c r="G127" s="6"/>
      <c r="H127" s="6"/>
      <c r="I127" s="6"/>
      <c r="J127" s="6"/>
      <c r="K127" s="6"/>
      <c r="L127" s="6"/>
      <c r="M127" s="6"/>
    </row>
    <row r="128" spans="1:13" x14ac:dyDescent="0.25">
      <c r="A128" s="5"/>
      <c r="B128" s="5"/>
      <c r="C128" s="5"/>
      <c r="D128" s="5"/>
      <c r="E128" s="5"/>
      <c r="F128" s="6"/>
      <c r="G128" s="6"/>
      <c r="H128" s="6"/>
      <c r="I128" s="6"/>
      <c r="J128" s="6"/>
      <c r="K128" s="6"/>
      <c r="L128" s="6"/>
      <c r="M128" s="6"/>
    </row>
    <row r="129" spans="1:13" x14ac:dyDescent="0.25">
      <c r="A129" s="5"/>
      <c r="B129" s="5"/>
      <c r="C129" s="5"/>
      <c r="D129" s="5"/>
      <c r="E129" s="5"/>
      <c r="F129" s="6"/>
      <c r="G129" s="6"/>
      <c r="H129" s="6"/>
      <c r="I129" s="6"/>
      <c r="J129" s="6"/>
      <c r="K129" s="6"/>
      <c r="L129" s="6"/>
      <c r="M129" s="6"/>
    </row>
    <row r="130" spans="1:13" x14ac:dyDescent="0.25">
      <c r="A130" s="5"/>
      <c r="B130" s="5"/>
      <c r="C130" s="5"/>
      <c r="D130" s="5"/>
      <c r="E130" s="5"/>
      <c r="F130" s="6"/>
      <c r="G130" s="6"/>
      <c r="H130" s="6"/>
      <c r="I130" s="6"/>
      <c r="J130" s="6"/>
      <c r="K130" s="6"/>
      <c r="L130" s="6"/>
      <c r="M130" s="6"/>
    </row>
    <row r="131" spans="1:13" x14ac:dyDescent="0.25">
      <c r="A131" s="5"/>
      <c r="B131" s="5"/>
      <c r="C131" s="5"/>
      <c r="D131" s="5"/>
      <c r="E131" s="5"/>
      <c r="F131" s="6"/>
      <c r="G131" s="6"/>
      <c r="H131" s="6"/>
      <c r="I131" s="6"/>
      <c r="J131" s="6"/>
      <c r="K131" s="6"/>
      <c r="L131" s="6"/>
      <c r="M131" s="6"/>
    </row>
    <row r="132" spans="1:13" x14ac:dyDescent="0.25">
      <c r="A132" s="5"/>
      <c r="B132" s="5"/>
      <c r="C132" s="5"/>
      <c r="D132" s="5"/>
      <c r="E132" s="5"/>
      <c r="F132" s="6"/>
      <c r="G132" s="6"/>
      <c r="H132" s="6"/>
      <c r="I132" s="6"/>
      <c r="J132" s="6"/>
      <c r="K132" s="6"/>
      <c r="L132" s="6"/>
      <c r="M132" s="6"/>
    </row>
    <row r="133" spans="1:13" x14ac:dyDescent="0.25">
      <c r="A133" s="5"/>
      <c r="B133" s="5"/>
      <c r="C133" s="5"/>
      <c r="D133" s="5"/>
      <c r="E133" s="5"/>
      <c r="F133" s="6"/>
      <c r="G133" s="6"/>
      <c r="H133" s="6"/>
      <c r="I133" s="6"/>
      <c r="J133" s="6"/>
      <c r="K133" s="6"/>
      <c r="L133" s="6"/>
      <c r="M133" s="6"/>
    </row>
    <row r="134" spans="1:13" x14ac:dyDescent="0.25">
      <c r="A134" s="5"/>
      <c r="B134" s="5"/>
      <c r="C134" s="5"/>
      <c r="D134" s="5"/>
      <c r="E134" s="5"/>
      <c r="F134" s="6"/>
      <c r="G134" s="6"/>
      <c r="H134" s="6"/>
      <c r="I134" s="6"/>
      <c r="J134" s="6"/>
      <c r="K134" s="6"/>
      <c r="L134" s="6"/>
      <c r="M134" s="6"/>
    </row>
    <row r="135" spans="1:13" x14ac:dyDescent="0.25">
      <c r="A135" s="5"/>
      <c r="B135" s="5"/>
      <c r="C135" s="5"/>
      <c r="D135" s="5"/>
      <c r="E135" s="5"/>
      <c r="F135" s="6"/>
      <c r="G135" s="6"/>
      <c r="H135" s="6"/>
      <c r="I135" s="6"/>
      <c r="J135" s="6"/>
      <c r="K135" s="6"/>
      <c r="L135" s="6"/>
      <c r="M135" s="6"/>
    </row>
    <row r="136" spans="1:13" x14ac:dyDescent="0.25">
      <c r="A136" s="5"/>
      <c r="B136" s="5"/>
      <c r="C136" s="5"/>
      <c r="D136" s="5"/>
      <c r="E136" s="5"/>
      <c r="F136" s="6"/>
      <c r="G136" s="6"/>
      <c r="H136" s="6"/>
      <c r="I136" s="6"/>
      <c r="J136" s="6"/>
      <c r="K136" s="6"/>
      <c r="L136" s="6"/>
      <c r="M136" s="6"/>
    </row>
    <row r="137" spans="1:13" x14ac:dyDescent="0.25">
      <c r="A137" s="5"/>
      <c r="B137" s="5"/>
      <c r="C137" s="5"/>
      <c r="D137" s="5"/>
      <c r="E137" s="5"/>
      <c r="F137" s="6"/>
      <c r="G137" s="6"/>
      <c r="H137" s="6"/>
      <c r="I137" s="6"/>
      <c r="J137" s="6"/>
      <c r="K137" s="6"/>
      <c r="L137" s="6"/>
      <c r="M137" s="6"/>
    </row>
    <row r="138" spans="1:13" x14ac:dyDescent="0.25">
      <c r="A138" s="5"/>
      <c r="B138" s="5"/>
      <c r="C138" s="5"/>
      <c r="D138" s="5"/>
      <c r="E138" s="5"/>
      <c r="F138" s="6"/>
      <c r="G138" s="6"/>
      <c r="H138" s="6"/>
      <c r="I138" s="6"/>
      <c r="J138" s="6"/>
      <c r="K138" s="6"/>
      <c r="L138" s="6"/>
      <c r="M138" s="6"/>
    </row>
    <row r="139" spans="1:13" x14ac:dyDescent="0.25">
      <c r="A139" s="5"/>
      <c r="B139" s="5"/>
      <c r="C139" s="5"/>
      <c r="D139" s="5"/>
      <c r="E139" s="5"/>
      <c r="F139" s="6"/>
      <c r="G139" s="6"/>
      <c r="H139" s="6"/>
      <c r="I139" s="6"/>
      <c r="J139" s="6"/>
      <c r="K139" s="6"/>
      <c r="L139" s="6"/>
      <c r="M139" s="6"/>
    </row>
    <row r="140" spans="1:13" x14ac:dyDescent="0.25">
      <c r="A140" s="5"/>
      <c r="B140" s="5"/>
      <c r="C140" s="5"/>
      <c r="D140" s="5"/>
      <c r="E140" s="5"/>
      <c r="F140" s="6"/>
      <c r="G140" s="6"/>
      <c r="H140" s="6"/>
      <c r="I140" s="6"/>
      <c r="J140" s="6"/>
      <c r="K140" s="6"/>
      <c r="L140" s="6"/>
      <c r="M140" s="6"/>
    </row>
    <row r="141" spans="1:13" x14ac:dyDescent="0.25">
      <c r="A141" s="5"/>
      <c r="B141" s="5"/>
      <c r="C141" s="5"/>
      <c r="D141" s="5"/>
      <c r="E141" s="5"/>
      <c r="F141" s="6"/>
      <c r="G141" s="6"/>
      <c r="H141" s="6"/>
      <c r="I141" s="6"/>
      <c r="J141" s="6"/>
      <c r="K141" s="6"/>
      <c r="L141" s="6"/>
      <c r="M141" s="6"/>
    </row>
    <row r="142" spans="1:13" x14ac:dyDescent="0.25">
      <c r="A142" s="5"/>
      <c r="B142" s="5"/>
      <c r="C142" s="5"/>
      <c r="D142" s="5"/>
      <c r="E142" s="5"/>
      <c r="F142" s="6"/>
      <c r="G142" s="6"/>
      <c r="H142" s="6"/>
      <c r="I142" s="6"/>
      <c r="J142" s="6"/>
      <c r="K142" s="6"/>
      <c r="L142" s="6"/>
      <c r="M142" s="6"/>
    </row>
    <row r="143" spans="1:13" x14ac:dyDescent="0.25">
      <c r="A143" s="5"/>
      <c r="B143" s="5"/>
      <c r="C143" s="5"/>
      <c r="D143" s="5"/>
      <c r="E143" s="5"/>
      <c r="F143" s="6"/>
      <c r="G143" s="6"/>
      <c r="H143" s="6"/>
      <c r="I143" s="6"/>
      <c r="J143" s="6"/>
      <c r="K143" s="6"/>
      <c r="L143" s="6"/>
      <c r="M143" s="6"/>
    </row>
    <row r="144" spans="1:13" x14ac:dyDescent="0.25">
      <c r="A144" s="5"/>
      <c r="B144" s="5"/>
      <c r="C144" s="5"/>
      <c r="D144" s="5"/>
      <c r="E144" s="5"/>
      <c r="F144" s="6"/>
      <c r="G144" s="6"/>
      <c r="H144" s="6"/>
      <c r="I144" s="6"/>
      <c r="J144" s="6"/>
      <c r="K144" s="6"/>
      <c r="L144" s="6"/>
      <c r="M144" s="6"/>
    </row>
    <row r="145" spans="1:13" x14ac:dyDescent="0.25">
      <c r="A145" s="5"/>
      <c r="B145" s="5"/>
      <c r="C145" s="5"/>
      <c r="D145" s="5"/>
      <c r="E145" s="5"/>
      <c r="F145" s="6"/>
      <c r="G145" s="6"/>
      <c r="H145" s="6"/>
      <c r="I145" s="6"/>
      <c r="J145" s="6"/>
      <c r="K145" s="6"/>
      <c r="L145" s="6"/>
      <c r="M145" s="6"/>
    </row>
    <row r="146" spans="1:13" x14ac:dyDescent="0.25">
      <c r="A146" s="5"/>
      <c r="B146" s="5"/>
      <c r="C146" s="5"/>
      <c r="D146" s="5"/>
      <c r="E146" s="5"/>
      <c r="F146" s="6"/>
      <c r="G146" s="6"/>
      <c r="H146" s="6"/>
      <c r="I146" s="6"/>
      <c r="J146" s="6"/>
      <c r="K146" s="6"/>
      <c r="L146" s="6"/>
      <c r="M146" s="6"/>
    </row>
    <row r="147" spans="1:13" x14ac:dyDescent="0.25">
      <c r="A147" s="5"/>
      <c r="B147" s="5"/>
      <c r="C147" s="5"/>
      <c r="D147" s="5"/>
      <c r="E147" s="5"/>
      <c r="F147" s="6"/>
      <c r="G147" s="6"/>
      <c r="H147" s="6"/>
      <c r="I147" s="6"/>
      <c r="J147" s="6"/>
      <c r="K147" s="6"/>
      <c r="L147" s="6"/>
      <c r="M147" s="6"/>
    </row>
    <row r="148" spans="1:13" x14ac:dyDescent="0.25">
      <c r="A148" s="5"/>
      <c r="B148" s="5"/>
      <c r="C148" s="5"/>
      <c r="D148" s="5"/>
      <c r="E148" s="5"/>
      <c r="F148" s="6"/>
      <c r="G148" s="6"/>
      <c r="H148" s="6"/>
      <c r="I148" s="6"/>
      <c r="J148" s="6"/>
      <c r="K148" s="6"/>
      <c r="L148" s="6"/>
      <c r="M148" s="6"/>
    </row>
    <row r="149" spans="1:13" x14ac:dyDescent="0.25">
      <c r="A149" s="5"/>
      <c r="B149" s="5"/>
      <c r="C149" s="5"/>
      <c r="D149" s="5"/>
      <c r="E149" s="5"/>
      <c r="F149" s="6"/>
      <c r="G149" s="6"/>
      <c r="H149" s="6"/>
      <c r="I149" s="6"/>
      <c r="J149" s="6"/>
      <c r="K149" s="6"/>
      <c r="L149" s="6"/>
      <c r="M149" s="6"/>
    </row>
    <row r="150" spans="1:13" x14ac:dyDescent="0.25">
      <c r="A150" s="5"/>
      <c r="B150" s="5"/>
      <c r="C150" s="5"/>
      <c r="D150" s="5"/>
      <c r="E150" s="5"/>
      <c r="F150" s="6"/>
      <c r="G150" s="6"/>
      <c r="H150" s="6"/>
      <c r="I150" s="6"/>
      <c r="J150" s="6"/>
      <c r="K150" s="6"/>
      <c r="L150" s="6"/>
      <c r="M150" s="6"/>
    </row>
  </sheetData>
  <mergeCells count="75">
    <mergeCell ref="A28:D30"/>
    <mergeCell ref="B32:B34"/>
    <mergeCell ref="A52:A54"/>
    <mergeCell ref="D17:D19"/>
    <mergeCell ref="A20:A22"/>
    <mergeCell ref="A26:M26"/>
    <mergeCell ref="D52:D54"/>
    <mergeCell ref="A41:D43"/>
    <mergeCell ref="A44:M44"/>
    <mergeCell ref="C32:C34"/>
    <mergeCell ref="D32:D34"/>
    <mergeCell ref="A38:A40"/>
    <mergeCell ref="B38:B40"/>
    <mergeCell ref="C38:C40"/>
    <mergeCell ref="D38:D40"/>
    <mergeCell ref="A35:A37"/>
    <mergeCell ref="C13:C15"/>
    <mergeCell ref="D13:D15"/>
    <mergeCell ref="D20:D22"/>
    <mergeCell ref="B13:B16"/>
    <mergeCell ref="A13:A16"/>
    <mergeCell ref="B17:B19"/>
    <mergeCell ref="A17:A19"/>
    <mergeCell ref="C17:C19"/>
    <mergeCell ref="B20:B22"/>
    <mergeCell ref="C20:C22"/>
    <mergeCell ref="B35:B37"/>
    <mergeCell ref="C35:C37"/>
    <mergeCell ref="D35:D37"/>
    <mergeCell ref="A32:A34"/>
    <mergeCell ref="A46:A48"/>
    <mergeCell ref="B46:B48"/>
    <mergeCell ref="C46:C48"/>
    <mergeCell ref="D46:D48"/>
    <mergeCell ref="L70:L72"/>
    <mergeCell ref="M70:M72"/>
    <mergeCell ref="A67:D67"/>
    <mergeCell ref="A68:D72"/>
    <mergeCell ref="E70:E72"/>
    <mergeCell ref="F70:F72"/>
    <mergeCell ref="J70:J72"/>
    <mergeCell ref="K70:K72"/>
    <mergeCell ref="H70:H72"/>
    <mergeCell ref="I70:I72"/>
    <mergeCell ref="G70:G72"/>
    <mergeCell ref="A1:M1"/>
    <mergeCell ref="F7:M7"/>
    <mergeCell ref="F8:M8"/>
    <mergeCell ref="F9:F10"/>
    <mergeCell ref="H9:M9"/>
    <mergeCell ref="A12:M12"/>
    <mergeCell ref="A2:M2"/>
    <mergeCell ref="A3:M3"/>
    <mergeCell ref="C7:C10"/>
    <mergeCell ref="A58:D60"/>
    <mergeCell ref="A4:M4"/>
    <mergeCell ref="A5:M5"/>
    <mergeCell ref="A6:M6"/>
    <mergeCell ref="A7:A10"/>
    <mergeCell ref="B7:B10"/>
    <mergeCell ref="D7:D10"/>
    <mergeCell ref="E7:E10"/>
    <mergeCell ref="B52:B54"/>
    <mergeCell ref="C52:C54"/>
    <mergeCell ref="A23:D25"/>
    <mergeCell ref="A31:M31"/>
    <mergeCell ref="A49:A51"/>
    <mergeCell ref="B49:B51"/>
    <mergeCell ref="C49:C51"/>
    <mergeCell ref="D49:D51"/>
    <mergeCell ref="A66:D66"/>
    <mergeCell ref="A61:D61"/>
    <mergeCell ref="A62:D64"/>
    <mergeCell ref="A55:D57"/>
    <mergeCell ref="A65:D65"/>
  </mergeCells>
  <pageMargins left="0.70866141732283472" right="0.70866141732283472" top="0.74803149606299213" bottom="0.74803149606299213" header="0.31496062992125984" footer="0.31496062992125984"/>
  <pageSetup paperSize="9" scale="47" fitToHeight="10" orientation="landscape" r:id="rId1"/>
  <rowBreaks count="2" manualBreakCount="2">
    <brk id="43" max="10" man="1"/>
    <brk id="6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view="pageBreakPreview" zoomScale="70" zoomScaleNormal="70" zoomScaleSheetLayoutView="70" workbookViewId="0">
      <selection activeCell="M17" sqref="M17"/>
    </sheetView>
  </sheetViews>
  <sheetFormatPr defaultRowHeight="15" x14ac:dyDescent="0.25"/>
  <cols>
    <col min="1" max="1" width="23.28515625" style="84" customWidth="1"/>
    <col min="2" max="2" width="37.28515625" style="84" customWidth="1"/>
    <col min="3" max="3" width="29.140625" style="84" customWidth="1"/>
    <col min="4" max="4" width="55.5703125" style="93" customWidth="1"/>
    <col min="5" max="5" width="15.7109375" style="84" customWidth="1"/>
    <col min="6" max="6" width="13" style="84" bestFit="1" customWidth="1"/>
    <col min="7" max="8" width="12.28515625" style="84" bestFit="1" customWidth="1"/>
    <col min="9" max="16384" width="9.140625" style="84"/>
  </cols>
  <sheetData>
    <row r="1" spans="1:5" x14ac:dyDescent="0.25">
      <c r="A1" s="210" t="s">
        <v>380</v>
      </c>
      <c r="B1" s="210"/>
      <c r="C1" s="210"/>
      <c r="D1" s="210"/>
    </row>
    <row r="2" spans="1:5" ht="15" customHeight="1" x14ac:dyDescent="0.25">
      <c r="A2" s="185" t="s">
        <v>3</v>
      </c>
      <c r="B2" s="185" t="s">
        <v>376</v>
      </c>
      <c r="C2" s="185" t="s">
        <v>5</v>
      </c>
      <c r="D2" s="221" t="s">
        <v>377</v>
      </c>
    </row>
    <row r="3" spans="1:5" x14ac:dyDescent="0.25">
      <c r="A3" s="185"/>
      <c r="B3" s="185"/>
      <c r="C3" s="185"/>
      <c r="D3" s="221"/>
    </row>
    <row r="4" spans="1:5" x14ac:dyDescent="0.25">
      <c r="A4" s="185"/>
      <c r="B4" s="185"/>
      <c r="C4" s="185"/>
      <c r="D4" s="221"/>
    </row>
    <row r="5" spans="1:5" x14ac:dyDescent="0.25">
      <c r="A5" s="185"/>
      <c r="B5" s="185"/>
      <c r="C5" s="185"/>
      <c r="D5" s="221"/>
    </row>
    <row r="6" spans="1:5" x14ac:dyDescent="0.25">
      <c r="A6" s="82">
        <v>1</v>
      </c>
      <c r="B6" s="82">
        <v>2</v>
      </c>
      <c r="C6" s="82">
        <v>3</v>
      </c>
      <c r="D6" s="25"/>
    </row>
    <row r="7" spans="1:5" ht="33" customHeight="1" x14ac:dyDescent="0.25">
      <c r="A7" s="182" t="s">
        <v>351</v>
      </c>
      <c r="B7" s="183"/>
      <c r="C7" s="183"/>
      <c r="D7" s="184"/>
    </row>
    <row r="8" spans="1:5" s="86" customFormat="1" ht="24.75" customHeight="1" x14ac:dyDescent="0.25">
      <c r="A8" s="185" t="s">
        <v>352</v>
      </c>
      <c r="B8" s="185" t="s">
        <v>365</v>
      </c>
      <c r="C8" s="185" t="s">
        <v>20</v>
      </c>
      <c r="D8" s="218" t="s">
        <v>378</v>
      </c>
    </row>
    <row r="9" spans="1:5" s="86" customFormat="1" ht="34.5" customHeight="1" x14ac:dyDescent="0.25">
      <c r="A9" s="185"/>
      <c r="B9" s="185"/>
      <c r="C9" s="185"/>
      <c r="D9" s="219"/>
    </row>
    <row r="10" spans="1:5" s="86" customFormat="1" ht="46.5" customHeight="1" x14ac:dyDescent="0.25">
      <c r="A10" s="185"/>
      <c r="B10" s="185"/>
      <c r="C10" s="185"/>
      <c r="D10" s="220"/>
    </row>
    <row r="11" spans="1:5" s="86" customFormat="1" ht="30" hidden="1" x14ac:dyDescent="0.25">
      <c r="A11" s="185"/>
      <c r="B11" s="185"/>
      <c r="C11" s="82" t="s">
        <v>359</v>
      </c>
      <c r="D11" s="82"/>
    </row>
    <row r="12" spans="1:5" ht="21" customHeight="1" x14ac:dyDescent="0.25">
      <c r="A12" s="185" t="s">
        <v>353</v>
      </c>
      <c r="B12" s="185" t="s">
        <v>367</v>
      </c>
      <c r="C12" s="185" t="s">
        <v>20</v>
      </c>
      <c r="D12" s="218" t="s">
        <v>379</v>
      </c>
    </row>
    <row r="13" spans="1:5" x14ac:dyDescent="0.25">
      <c r="A13" s="185"/>
      <c r="B13" s="185"/>
      <c r="C13" s="185"/>
      <c r="D13" s="219"/>
    </row>
    <row r="14" spans="1:5" ht="21" customHeight="1" x14ac:dyDescent="0.25">
      <c r="A14" s="185"/>
      <c r="B14" s="185"/>
      <c r="C14" s="185"/>
      <c r="D14" s="220"/>
    </row>
    <row r="15" spans="1:5" ht="21.75" customHeight="1" x14ac:dyDescent="0.25">
      <c r="A15" s="185" t="s">
        <v>354</v>
      </c>
      <c r="B15" s="185" t="s">
        <v>368</v>
      </c>
      <c r="C15" s="185" t="s">
        <v>20</v>
      </c>
      <c r="D15" s="215" t="s">
        <v>389</v>
      </c>
      <c r="E15" s="85"/>
    </row>
    <row r="16" spans="1:5" x14ac:dyDescent="0.25">
      <c r="A16" s="185"/>
      <c r="B16" s="185"/>
      <c r="C16" s="185"/>
      <c r="D16" s="216"/>
    </row>
    <row r="17" spans="1:4" ht="96" customHeight="1" x14ac:dyDescent="0.25">
      <c r="A17" s="185"/>
      <c r="B17" s="185"/>
      <c r="C17" s="185"/>
      <c r="D17" s="217"/>
    </row>
    <row r="18" spans="1:4" ht="28.5" customHeight="1" x14ac:dyDescent="0.25">
      <c r="A18" s="182" t="s">
        <v>355</v>
      </c>
      <c r="B18" s="183"/>
      <c r="C18" s="183"/>
      <c r="D18" s="184"/>
    </row>
    <row r="19" spans="1:4" ht="135" x14ac:dyDescent="0.25">
      <c r="A19" s="91" t="s">
        <v>352</v>
      </c>
      <c r="B19" s="82" t="s">
        <v>366</v>
      </c>
      <c r="C19" s="82" t="s">
        <v>20</v>
      </c>
      <c r="D19" s="82" t="s">
        <v>381</v>
      </c>
    </row>
    <row r="20" spans="1:4" ht="23.25" customHeight="1" x14ac:dyDescent="0.25">
      <c r="A20" s="182" t="s">
        <v>356</v>
      </c>
      <c r="B20" s="183"/>
      <c r="C20" s="183"/>
      <c r="D20" s="184"/>
    </row>
    <row r="21" spans="1:4" ht="20.25" customHeight="1" x14ac:dyDescent="0.25">
      <c r="A21" s="211" t="s">
        <v>352</v>
      </c>
      <c r="B21" s="185" t="s">
        <v>369</v>
      </c>
      <c r="C21" s="185" t="s">
        <v>20</v>
      </c>
      <c r="D21" s="215" t="s">
        <v>382</v>
      </c>
    </row>
    <row r="22" spans="1:4" x14ac:dyDescent="0.25">
      <c r="A22" s="211"/>
      <c r="B22" s="185"/>
      <c r="C22" s="185"/>
      <c r="D22" s="216"/>
    </row>
    <row r="23" spans="1:4" ht="34.5" customHeight="1" x14ac:dyDescent="0.25">
      <c r="A23" s="211"/>
      <c r="B23" s="185"/>
      <c r="C23" s="185"/>
      <c r="D23" s="217"/>
    </row>
    <row r="24" spans="1:4" ht="21.75" customHeight="1" x14ac:dyDescent="0.25">
      <c r="A24" s="211" t="s">
        <v>353</v>
      </c>
      <c r="B24" s="185" t="s">
        <v>370</v>
      </c>
      <c r="C24" s="185" t="s">
        <v>20</v>
      </c>
      <c r="D24" s="215" t="s">
        <v>383</v>
      </c>
    </row>
    <row r="25" spans="1:4" x14ac:dyDescent="0.25">
      <c r="A25" s="211"/>
      <c r="B25" s="185"/>
      <c r="C25" s="185"/>
      <c r="D25" s="216"/>
    </row>
    <row r="26" spans="1:4" ht="21" customHeight="1" x14ac:dyDescent="0.25">
      <c r="A26" s="211"/>
      <c r="B26" s="185"/>
      <c r="C26" s="185"/>
      <c r="D26" s="217"/>
    </row>
    <row r="27" spans="1:4" ht="15" customHeight="1" x14ac:dyDescent="0.25">
      <c r="A27" s="185" t="s">
        <v>354</v>
      </c>
      <c r="B27" s="185" t="s">
        <v>371</v>
      </c>
      <c r="C27" s="185" t="s">
        <v>20</v>
      </c>
      <c r="D27" s="215" t="s">
        <v>384</v>
      </c>
    </row>
    <row r="28" spans="1:4" x14ac:dyDescent="0.25">
      <c r="A28" s="185"/>
      <c r="B28" s="185"/>
      <c r="C28" s="185"/>
      <c r="D28" s="216"/>
    </row>
    <row r="29" spans="1:4" ht="40.5" customHeight="1" x14ac:dyDescent="0.25">
      <c r="A29" s="185"/>
      <c r="B29" s="185"/>
      <c r="C29" s="185"/>
      <c r="D29" s="217"/>
    </row>
    <row r="30" spans="1:4" s="86" customFormat="1" ht="26.25" customHeight="1" x14ac:dyDescent="0.25">
      <c r="A30" s="185" t="s">
        <v>363</v>
      </c>
      <c r="B30" s="185"/>
      <c r="C30" s="185"/>
      <c r="D30" s="83"/>
    </row>
    <row r="31" spans="1:4" s="86" customFormat="1" ht="45" x14ac:dyDescent="0.25">
      <c r="A31" s="82" t="s">
        <v>352</v>
      </c>
      <c r="B31" s="82" t="s">
        <v>372</v>
      </c>
      <c r="C31" s="82" t="s">
        <v>20</v>
      </c>
      <c r="D31" s="83" t="s">
        <v>385</v>
      </c>
    </row>
    <row r="32" spans="1:4" s="86" customFormat="1" ht="57" customHeight="1" x14ac:dyDescent="0.25">
      <c r="A32" s="185" t="s">
        <v>353</v>
      </c>
      <c r="B32" s="185" t="s">
        <v>373</v>
      </c>
      <c r="C32" s="185" t="s">
        <v>20</v>
      </c>
      <c r="D32" s="215" t="s">
        <v>386</v>
      </c>
    </row>
    <row r="33" spans="1:4" s="86" customFormat="1" x14ac:dyDescent="0.25">
      <c r="A33" s="185"/>
      <c r="B33" s="185"/>
      <c r="C33" s="185"/>
      <c r="D33" s="216"/>
    </row>
    <row r="34" spans="1:4" s="86" customFormat="1" x14ac:dyDescent="0.25">
      <c r="A34" s="185"/>
      <c r="B34" s="185"/>
      <c r="C34" s="185"/>
      <c r="D34" s="217"/>
    </row>
    <row r="35" spans="1:4" s="86" customFormat="1" ht="15" customHeight="1" x14ac:dyDescent="0.25">
      <c r="A35" s="185" t="s">
        <v>354</v>
      </c>
      <c r="B35" s="185" t="s">
        <v>374</v>
      </c>
      <c r="C35" s="185" t="s">
        <v>171</v>
      </c>
      <c r="D35" s="215" t="s">
        <v>387</v>
      </c>
    </row>
    <row r="36" spans="1:4" s="86" customFormat="1" x14ac:dyDescent="0.25">
      <c r="A36" s="185"/>
      <c r="B36" s="185"/>
      <c r="C36" s="185"/>
      <c r="D36" s="216"/>
    </row>
    <row r="37" spans="1:4" x14ac:dyDescent="0.25">
      <c r="A37" s="185"/>
      <c r="B37" s="185"/>
      <c r="C37" s="185"/>
      <c r="D37" s="217"/>
    </row>
    <row r="38" spans="1:4" s="87" customFormat="1" ht="15" customHeight="1" x14ac:dyDescent="0.25">
      <c r="A38" s="185" t="s">
        <v>358</v>
      </c>
      <c r="B38" s="185" t="s">
        <v>375</v>
      </c>
      <c r="C38" s="185" t="s">
        <v>20</v>
      </c>
      <c r="D38" s="215" t="s">
        <v>388</v>
      </c>
    </row>
    <row r="39" spans="1:4" s="87" customFormat="1" x14ac:dyDescent="0.25">
      <c r="A39" s="185"/>
      <c r="B39" s="185"/>
      <c r="C39" s="185"/>
      <c r="D39" s="216"/>
    </row>
    <row r="40" spans="1:4" s="87" customFormat="1" x14ac:dyDescent="0.25">
      <c r="A40" s="185"/>
      <c r="B40" s="185"/>
      <c r="C40" s="185"/>
      <c r="D40" s="217"/>
    </row>
    <row r="41" spans="1:4" x14ac:dyDescent="0.25">
      <c r="B41" s="88"/>
      <c r="C41" s="88"/>
      <c r="D41" s="92"/>
    </row>
    <row r="42" spans="1:4" x14ac:dyDescent="0.25">
      <c r="A42" s="212"/>
      <c r="B42" s="95"/>
      <c r="C42" s="95"/>
      <c r="D42" s="96"/>
    </row>
    <row r="43" spans="1:4" x14ac:dyDescent="0.25">
      <c r="A43" s="213"/>
      <c r="B43" s="95"/>
      <c r="C43" s="95"/>
      <c r="D43" s="96"/>
    </row>
    <row r="44" spans="1:4" x14ac:dyDescent="0.25">
      <c r="A44" s="214"/>
      <c r="B44" s="95"/>
      <c r="C44" s="95"/>
      <c r="D44" s="96"/>
    </row>
    <row r="45" spans="1:4" x14ac:dyDescent="0.25">
      <c r="A45" s="88"/>
      <c r="B45" s="88"/>
      <c r="C45" s="88"/>
      <c r="D45" s="92"/>
    </row>
    <row r="46" spans="1:4" x14ac:dyDescent="0.25">
      <c r="A46" s="88"/>
      <c r="B46" s="88"/>
      <c r="C46" s="88"/>
      <c r="D46" s="92"/>
    </row>
    <row r="47" spans="1:4" x14ac:dyDescent="0.25">
      <c r="A47" s="88"/>
      <c r="B47" s="88"/>
      <c r="C47" s="88"/>
      <c r="D47" s="92"/>
    </row>
    <row r="48" spans="1:4" x14ac:dyDescent="0.25">
      <c r="A48" s="88"/>
      <c r="B48" s="88"/>
      <c r="C48" s="88"/>
      <c r="D48" s="92"/>
    </row>
    <row r="49" spans="1:4" x14ac:dyDescent="0.25">
      <c r="A49" s="88"/>
      <c r="B49" s="88"/>
      <c r="C49" s="88"/>
      <c r="D49" s="92"/>
    </row>
    <row r="50" spans="1:4" x14ac:dyDescent="0.25">
      <c r="A50" s="88"/>
      <c r="B50" s="88"/>
      <c r="C50" s="88"/>
      <c r="D50" s="92"/>
    </row>
    <row r="51" spans="1:4" x14ac:dyDescent="0.25">
      <c r="A51" s="88"/>
      <c r="B51" s="88"/>
      <c r="C51" s="88"/>
      <c r="D51" s="92"/>
    </row>
    <row r="52" spans="1:4" x14ac:dyDescent="0.25">
      <c r="A52" s="88"/>
      <c r="B52" s="88"/>
      <c r="C52" s="88"/>
      <c r="D52" s="92"/>
    </row>
    <row r="53" spans="1:4" x14ac:dyDescent="0.25">
      <c r="A53" s="88"/>
      <c r="B53" s="88"/>
      <c r="C53" s="88"/>
      <c r="D53" s="92"/>
    </row>
    <row r="54" spans="1:4" x14ac:dyDescent="0.25">
      <c r="A54" s="88"/>
      <c r="B54" s="88"/>
      <c r="C54" s="88"/>
      <c r="D54" s="92"/>
    </row>
    <row r="55" spans="1:4" x14ac:dyDescent="0.25">
      <c r="A55" s="88"/>
      <c r="B55" s="88"/>
      <c r="C55" s="88"/>
      <c r="D55" s="92"/>
    </row>
    <row r="56" spans="1:4" x14ac:dyDescent="0.25">
      <c r="A56" s="88"/>
      <c r="B56" s="88"/>
      <c r="C56" s="88"/>
      <c r="D56" s="92"/>
    </row>
    <row r="57" spans="1:4" x14ac:dyDescent="0.25">
      <c r="A57" s="88"/>
      <c r="B57" s="88"/>
      <c r="C57" s="88"/>
      <c r="D57" s="92"/>
    </row>
    <row r="58" spans="1:4" x14ac:dyDescent="0.25">
      <c r="A58" s="88"/>
      <c r="B58" s="88"/>
      <c r="C58" s="88"/>
      <c r="D58" s="92"/>
    </row>
    <row r="59" spans="1:4" x14ac:dyDescent="0.25">
      <c r="A59" s="88"/>
      <c r="B59" s="88"/>
      <c r="C59" s="88"/>
      <c r="D59" s="92"/>
    </row>
    <row r="60" spans="1:4" x14ac:dyDescent="0.25">
      <c r="A60" s="88"/>
      <c r="B60" s="88"/>
      <c r="C60" s="88"/>
      <c r="D60" s="92"/>
    </row>
    <row r="61" spans="1:4" x14ac:dyDescent="0.25">
      <c r="A61" s="88"/>
      <c r="B61" s="88"/>
      <c r="C61" s="88"/>
      <c r="D61" s="92"/>
    </row>
    <row r="62" spans="1:4" x14ac:dyDescent="0.25">
      <c r="A62" s="88"/>
      <c r="B62" s="88"/>
      <c r="C62" s="88"/>
      <c r="D62" s="92"/>
    </row>
    <row r="63" spans="1:4" x14ac:dyDescent="0.25">
      <c r="A63" s="88"/>
      <c r="B63" s="89"/>
      <c r="C63" s="88"/>
      <c r="D63" s="92"/>
    </row>
    <row r="64" spans="1:4" x14ac:dyDescent="0.25">
      <c r="A64" s="88"/>
      <c r="B64" s="88"/>
      <c r="C64" s="88"/>
      <c r="D64" s="92"/>
    </row>
    <row r="65" spans="1:18" x14ac:dyDescent="0.25">
      <c r="A65" s="88"/>
      <c r="B65" s="89"/>
      <c r="C65" s="88"/>
      <c r="D65" s="92"/>
    </row>
    <row r="66" spans="1:18" x14ac:dyDescent="0.25">
      <c r="A66" s="88"/>
      <c r="B66" s="88"/>
      <c r="C66" s="88"/>
      <c r="D66" s="92"/>
    </row>
    <row r="67" spans="1:18" x14ac:dyDescent="0.25">
      <c r="A67" s="88"/>
      <c r="B67" s="88"/>
      <c r="C67" s="88"/>
      <c r="D67" s="92"/>
    </row>
    <row r="68" spans="1:18" x14ac:dyDescent="0.25">
      <c r="A68" s="88"/>
      <c r="B68" s="88"/>
      <c r="C68" s="88"/>
      <c r="D68" s="92"/>
    </row>
    <row r="69" spans="1:18" x14ac:dyDescent="0.25">
      <c r="A69" s="88"/>
      <c r="B69" s="88"/>
      <c r="C69" s="88"/>
      <c r="D69" s="92"/>
    </row>
    <row r="70" spans="1:18" x14ac:dyDescent="0.25">
      <c r="A70" s="88"/>
      <c r="B70" s="88"/>
      <c r="C70" s="88"/>
    </row>
    <row r="71" spans="1:18" x14ac:dyDescent="0.25">
      <c r="A71" s="88"/>
      <c r="B71" s="88"/>
      <c r="C71" s="88"/>
    </row>
    <row r="72" spans="1:18" x14ac:dyDescent="0.25">
      <c r="A72" s="88"/>
      <c r="B72" s="88"/>
      <c r="C72" s="88"/>
    </row>
    <row r="73" spans="1:18" x14ac:dyDescent="0.25">
      <c r="A73" s="88"/>
      <c r="B73" s="88"/>
      <c r="C73" s="88"/>
    </row>
    <row r="74" spans="1:18" x14ac:dyDescent="0.25">
      <c r="A74" s="88"/>
      <c r="B74" s="88"/>
      <c r="C74" s="88"/>
    </row>
    <row r="75" spans="1:18" x14ac:dyDescent="0.25">
      <c r="A75" s="88"/>
      <c r="B75" s="88"/>
      <c r="C75" s="88"/>
    </row>
    <row r="76" spans="1:18" s="90" customFormat="1" x14ac:dyDescent="0.25">
      <c r="A76" s="88"/>
      <c r="B76" s="88"/>
      <c r="C76" s="88"/>
      <c r="D76" s="93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</row>
    <row r="77" spans="1:18" s="90" customFormat="1" x14ac:dyDescent="0.25">
      <c r="A77" s="88"/>
      <c r="B77" s="88"/>
      <c r="C77" s="88"/>
      <c r="D77" s="93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</row>
    <row r="78" spans="1:18" s="90" customFormat="1" x14ac:dyDescent="0.25">
      <c r="A78" s="88"/>
      <c r="B78" s="88"/>
      <c r="C78" s="88"/>
      <c r="D78" s="93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</row>
    <row r="79" spans="1:18" s="90" customFormat="1" x14ac:dyDescent="0.25">
      <c r="A79" s="88"/>
      <c r="B79" s="88"/>
      <c r="C79" s="88"/>
      <c r="D79" s="93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</row>
    <row r="80" spans="1:18" s="90" customFormat="1" x14ac:dyDescent="0.25">
      <c r="A80" s="88"/>
      <c r="B80" s="88"/>
      <c r="C80" s="88"/>
      <c r="D80" s="93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</row>
    <row r="81" spans="1:18" s="90" customFormat="1" x14ac:dyDescent="0.25">
      <c r="A81" s="88"/>
      <c r="B81" s="88"/>
      <c r="C81" s="88"/>
      <c r="D81" s="93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</row>
    <row r="82" spans="1:18" s="90" customFormat="1" x14ac:dyDescent="0.25">
      <c r="A82" s="88"/>
      <c r="B82" s="88"/>
      <c r="C82" s="88"/>
      <c r="D82" s="93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</row>
    <row r="83" spans="1:18" s="90" customFormat="1" x14ac:dyDescent="0.25">
      <c r="A83" s="88"/>
      <c r="B83" s="88"/>
      <c r="C83" s="88"/>
      <c r="D83" s="93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</row>
    <row r="84" spans="1:18" s="90" customFormat="1" x14ac:dyDescent="0.25">
      <c r="A84" s="88"/>
      <c r="B84" s="88"/>
      <c r="C84" s="88"/>
      <c r="D84" s="93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</row>
    <row r="85" spans="1:18" s="90" customFormat="1" x14ac:dyDescent="0.25">
      <c r="A85" s="88"/>
      <c r="B85" s="88"/>
      <c r="C85" s="88"/>
      <c r="D85" s="93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</row>
    <row r="86" spans="1:18" s="90" customFormat="1" x14ac:dyDescent="0.25">
      <c r="A86" s="88"/>
      <c r="B86" s="88"/>
      <c r="C86" s="88"/>
      <c r="D86" s="93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</row>
    <row r="87" spans="1:18" s="90" customFormat="1" x14ac:dyDescent="0.25">
      <c r="A87" s="88"/>
      <c r="B87" s="88"/>
      <c r="C87" s="88"/>
      <c r="D87" s="93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</row>
    <row r="88" spans="1:18" s="90" customFormat="1" x14ac:dyDescent="0.25">
      <c r="A88" s="88"/>
      <c r="B88" s="88"/>
      <c r="C88" s="88"/>
      <c r="D88" s="93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</row>
    <row r="89" spans="1:18" s="90" customFormat="1" x14ac:dyDescent="0.25">
      <c r="A89" s="88"/>
      <c r="B89" s="88"/>
      <c r="C89" s="88"/>
      <c r="D89" s="93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</row>
    <row r="90" spans="1:18" s="90" customFormat="1" x14ac:dyDescent="0.25">
      <c r="A90" s="88"/>
      <c r="B90" s="88"/>
      <c r="C90" s="88"/>
      <c r="D90" s="93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</row>
    <row r="91" spans="1:18" s="90" customFormat="1" x14ac:dyDescent="0.25">
      <c r="A91" s="88"/>
      <c r="B91" s="88"/>
      <c r="C91" s="88"/>
      <c r="D91" s="93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</row>
    <row r="92" spans="1:18" s="90" customFormat="1" x14ac:dyDescent="0.25">
      <c r="A92" s="88"/>
      <c r="B92" s="88"/>
      <c r="C92" s="88"/>
      <c r="D92" s="93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</row>
    <row r="93" spans="1:18" s="90" customFormat="1" x14ac:dyDescent="0.25">
      <c r="A93" s="88"/>
      <c r="B93" s="88"/>
      <c r="C93" s="88"/>
      <c r="D93" s="93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</row>
    <row r="94" spans="1:18" s="90" customFormat="1" x14ac:dyDescent="0.25">
      <c r="A94" s="88"/>
      <c r="B94" s="88"/>
      <c r="C94" s="88"/>
      <c r="D94" s="93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</row>
    <row r="95" spans="1:18" s="90" customFormat="1" x14ac:dyDescent="0.25">
      <c r="A95" s="88"/>
      <c r="B95" s="88"/>
      <c r="C95" s="88"/>
      <c r="D95" s="93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</row>
    <row r="96" spans="1:18" s="90" customFormat="1" x14ac:dyDescent="0.25">
      <c r="A96" s="88"/>
      <c r="B96" s="88"/>
      <c r="C96" s="88"/>
      <c r="D96" s="93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</row>
    <row r="97" spans="1:18" s="90" customFormat="1" x14ac:dyDescent="0.25">
      <c r="A97" s="88"/>
      <c r="B97" s="88"/>
      <c r="C97" s="88"/>
      <c r="D97" s="93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</row>
    <row r="98" spans="1:18" s="90" customFormat="1" x14ac:dyDescent="0.25">
      <c r="A98" s="88"/>
      <c r="B98" s="88"/>
      <c r="C98" s="88"/>
      <c r="D98" s="93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</row>
    <row r="99" spans="1:18" s="90" customFormat="1" x14ac:dyDescent="0.25">
      <c r="A99" s="88"/>
      <c r="B99" s="88"/>
      <c r="C99" s="88"/>
      <c r="D99" s="93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</row>
    <row r="100" spans="1:18" s="90" customFormat="1" x14ac:dyDescent="0.25">
      <c r="A100" s="88"/>
      <c r="B100" s="88"/>
      <c r="C100" s="88"/>
      <c r="D100" s="93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</row>
    <row r="101" spans="1:18" s="90" customFormat="1" x14ac:dyDescent="0.25">
      <c r="A101" s="88"/>
      <c r="B101" s="88"/>
      <c r="C101" s="88"/>
      <c r="D101" s="93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</row>
    <row r="102" spans="1:18" s="90" customFormat="1" x14ac:dyDescent="0.25">
      <c r="A102" s="88"/>
      <c r="B102" s="88"/>
      <c r="C102" s="88"/>
      <c r="D102" s="93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</row>
    <row r="103" spans="1:18" s="90" customFormat="1" x14ac:dyDescent="0.25">
      <c r="A103" s="88"/>
      <c r="B103" s="88"/>
      <c r="C103" s="88"/>
      <c r="D103" s="93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</row>
    <row r="104" spans="1:18" s="90" customFormat="1" x14ac:dyDescent="0.25">
      <c r="A104" s="88"/>
      <c r="B104" s="88"/>
      <c r="C104" s="88"/>
      <c r="D104" s="93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</row>
    <row r="105" spans="1:18" s="90" customFormat="1" x14ac:dyDescent="0.25">
      <c r="A105" s="88"/>
      <c r="B105" s="88"/>
      <c r="C105" s="88"/>
      <c r="D105" s="93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</row>
    <row r="106" spans="1:18" s="90" customFormat="1" x14ac:dyDescent="0.25">
      <c r="A106" s="88"/>
      <c r="B106" s="88"/>
      <c r="C106" s="88"/>
      <c r="D106" s="93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</row>
    <row r="107" spans="1:18" s="90" customFormat="1" x14ac:dyDescent="0.25">
      <c r="A107" s="88"/>
      <c r="B107" s="88"/>
      <c r="C107" s="88"/>
      <c r="D107" s="93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</row>
    <row r="108" spans="1:18" s="90" customFormat="1" x14ac:dyDescent="0.25">
      <c r="A108" s="88"/>
      <c r="B108" s="88"/>
      <c r="C108" s="88"/>
      <c r="D108" s="93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</row>
    <row r="109" spans="1:18" s="90" customFormat="1" x14ac:dyDescent="0.25">
      <c r="A109" s="88"/>
      <c r="B109" s="88"/>
      <c r="C109" s="88"/>
      <c r="D109" s="93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</row>
    <row r="110" spans="1:18" s="90" customFormat="1" x14ac:dyDescent="0.25">
      <c r="A110" s="88"/>
      <c r="B110" s="88"/>
      <c r="C110" s="88"/>
      <c r="D110" s="93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</row>
    <row r="111" spans="1:18" s="90" customFormat="1" x14ac:dyDescent="0.25">
      <c r="A111" s="88"/>
      <c r="B111" s="88"/>
      <c r="C111" s="88"/>
      <c r="D111" s="93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</row>
    <row r="112" spans="1:18" s="90" customFormat="1" x14ac:dyDescent="0.25">
      <c r="A112" s="88"/>
      <c r="B112" s="88"/>
      <c r="C112" s="88"/>
      <c r="D112" s="93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</row>
    <row r="113" spans="1:18" s="90" customFormat="1" x14ac:dyDescent="0.25">
      <c r="A113" s="88"/>
      <c r="B113" s="88"/>
      <c r="C113" s="88"/>
      <c r="D113" s="93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</row>
    <row r="114" spans="1:18" s="90" customFormat="1" x14ac:dyDescent="0.25">
      <c r="A114" s="88"/>
      <c r="B114" s="88"/>
      <c r="C114" s="88"/>
      <c r="D114" s="93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</row>
    <row r="115" spans="1:18" s="90" customFormat="1" x14ac:dyDescent="0.25">
      <c r="A115" s="88"/>
      <c r="B115" s="88"/>
      <c r="C115" s="88"/>
      <c r="D115" s="93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</row>
    <row r="116" spans="1:18" s="90" customFormat="1" x14ac:dyDescent="0.25">
      <c r="A116" s="88"/>
      <c r="B116" s="88"/>
      <c r="C116" s="88"/>
      <c r="D116" s="93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</row>
    <row r="117" spans="1:18" s="90" customFormat="1" x14ac:dyDescent="0.25">
      <c r="A117" s="88"/>
      <c r="B117" s="88"/>
      <c r="C117" s="88"/>
      <c r="D117" s="93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</row>
    <row r="118" spans="1:18" s="90" customFormat="1" x14ac:dyDescent="0.25">
      <c r="A118" s="88"/>
      <c r="B118" s="88"/>
      <c r="C118" s="88"/>
      <c r="D118" s="93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</row>
  </sheetData>
  <mergeCells count="46">
    <mergeCell ref="D27:D29"/>
    <mergeCell ref="D24:D26"/>
    <mergeCell ref="D21:D23"/>
    <mergeCell ref="D15:D17"/>
    <mergeCell ref="D12:D14"/>
    <mergeCell ref="B8:B11"/>
    <mergeCell ref="C8:C10"/>
    <mergeCell ref="A2:A5"/>
    <mergeCell ref="B2:B5"/>
    <mergeCell ref="C2:C5"/>
    <mergeCell ref="D38:D40"/>
    <mergeCell ref="D35:D37"/>
    <mergeCell ref="D32:D34"/>
    <mergeCell ref="A35:A37"/>
    <mergeCell ref="B35:B37"/>
    <mergeCell ref="C35:C37"/>
    <mergeCell ref="A38:A40"/>
    <mergeCell ref="B38:B40"/>
    <mergeCell ref="C38:C40"/>
    <mergeCell ref="A30:C30"/>
    <mergeCell ref="A32:A34"/>
    <mergeCell ref="B32:B34"/>
    <mergeCell ref="C32:C34"/>
    <mergeCell ref="A42:A44"/>
    <mergeCell ref="A24:A26"/>
    <mergeCell ref="B24:B26"/>
    <mergeCell ref="C24:C26"/>
    <mergeCell ref="A27:A29"/>
    <mergeCell ref="B27:B29"/>
    <mergeCell ref="C27:C29"/>
    <mergeCell ref="A1:D1"/>
    <mergeCell ref="A21:A23"/>
    <mergeCell ref="B21:B23"/>
    <mergeCell ref="C21:C23"/>
    <mergeCell ref="A12:A14"/>
    <mergeCell ref="B12:B14"/>
    <mergeCell ref="C12:C14"/>
    <mergeCell ref="A15:A17"/>
    <mergeCell ref="B15:B17"/>
    <mergeCell ref="C15:C17"/>
    <mergeCell ref="D8:D10"/>
    <mergeCell ref="A18:D18"/>
    <mergeCell ref="A20:D20"/>
    <mergeCell ref="D2:D5"/>
    <mergeCell ref="A7:D7"/>
    <mergeCell ref="A8:A11"/>
  </mergeCells>
  <pageMargins left="0.70866141732283472" right="0.70866141732283472" top="0.74803149606299213" bottom="0.74803149606299213" header="0.31496062992125984" footer="0.31496062992125984"/>
  <pageSetup paperSize="9" scale="52" fitToHeight="10" orientation="landscape" r:id="rId1"/>
  <rowBreaks count="1" manualBreakCount="1">
    <brk id="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2015г (последняя)</vt:lpstr>
      <vt:lpstr>2016 год</vt:lpstr>
      <vt:lpstr>сопостовление</vt:lpstr>
      <vt:lpstr>'2015г (последняя)'!Область_печати</vt:lpstr>
      <vt:lpstr>'2016 год'!Область_печати</vt:lpstr>
      <vt:lpstr>сопостовление!Область_печати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2015-11-16T10:39:38Z</dcterms:modified>
</cp:coreProperties>
</file>